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abiula\Brasil Restauro Dropbox\Casa Flávio de Carvalho\Projetos\Licitação\Anexos Licitação\"/>
    </mc:Choice>
  </mc:AlternateContent>
  <bookViews>
    <workbookView xWindow="-120" yWindow="-120" windowWidth="38640" windowHeight="15990"/>
  </bookViews>
  <sheets>
    <sheet name="ORÇAMENTO" sheetId="6" r:id="rId1"/>
    <sheet name="CRONOGRAMA" sheetId="11" r:id="rId2"/>
    <sheet name="MOBILIÁRIO" sheetId="10" state="hidden" r:id="rId3"/>
    <sheet name="COMPOSIÇÕES" sheetId="8" state="hidden" r:id="rId4"/>
    <sheet name="QUADRO ÁREAS" sheetId="7" r:id="rId5"/>
  </sheets>
  <definedNames>
    <definedName name="_xlnm.Print_Area" localSheetId="2">MOBILIÁRIO!$A$1:$J$31</definedName>
    <definedName name="_xlnm.Print_Area" localSheetId="0">ORÇAMENTO!$A$1:$H$284</definedName>
    <definedName name="_xlnm.Print_Titles" localSheetId="2">MOBILIÁRIO!$1:$1</definedName>
    <definedName name="_xlnm.Print_Titles" localSheetId="0">ORÇAMENTO!$3:$3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7" i="11" l="1"/>
  <c r="K37" i="11"/>
  <c r="I36" i="11"/>
  <c r="G15" i="11"/>
  <c r="F12" i="6"/>
  <c r="F11" i="6"/>
  <c r="H126" i="6"/>
  <c r="H125" i="6"/>
  <c r="H124" i="6"/>
  <c r="H123" i="6"/>
  <c r="H122" i="6"/>
  <c r="H121" i="6"/>
  <c r="H120" i="6"/>
  <c r="H119" i="6"/>
  <c r="H118" i="6"/>
  <c r="H117" i="6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H184" i="6"/>
  <c r="H185" i="6"/>
  <c r="H186" i="6"/>
  <c r="H257" i="6" l="1"/>
  <c r="H258" i="6"/>
  <c r="H259" i="6"/>
  <c r="H260" i="6"/>
  <c r="H261" i="6"/>
  <c r="H262" i="6"/>
  <c r="H263" i="6"/>
  <c r="H201" i="6"/>
  <c r="H202" i="6"/>
  <c r="H203" i="6"/>
  <c r="H204" i="6"/>
  <c r="H205" i="6"/>
  <c r="H206" i="6"/>
  <c r="A31" i="10" l="1"/>
  <c r="F84" i="6" l="1"/>
  <c r="H84" i="6" s="1"/>
  <c r="F83" i="6"/>
  <c r="H83" i="6" s="1"/>
  <c r="F77" i="6"/>
  <c r="F76" i="6"/>
  <c r="F79" i="6"/>
  <c r="F80" i="6" s="1"/>
  <c r="H80" i="6" s="1"/>
  <c r="M69" i="7"/>
  <c r="M67" i="7"/>
  <c r="M66" i="7"/>
  <c r="M65" i="7"/>
  <c r="M64" i="7"/>
  <c r="M63" i="7"/>
  <c r="M62" i="7"/>
  <c r="M61" i="7"/>
  <c r="M60" i="7"/>
  <c r="M59" i="7"/>
  <c r="M58" i="7"/>
  <c r="M57" i="7"/>
  <c r="M55" i="7"/>
  <c r="M53" i="7"/>
  <c r="M52" i="7"/>
  <c r="M51" i="7"/>
  <c r="M49" i="7"/>
  <c r="M48" i="7"/>
  <c r="M47" i="7"/>
  <c r="M45" i="7"/>
  <c r="M42" i="7"/>
  <c r="M40" i="7"/>
  <c r="M39" i="7"/>
  <c r="M37" i="7"/>
  <c r="M34" i="7"/>
  <c r="M33" i="7"/>
  <c r="M32" i="7"/>
  <c r="L35" i="7" s="1"/>
  <c r="L29" i="7"/>
  <c r="M28" i="7"/>
  <c r="L21" i="7"/>
  <c r="M20" i="7"/>
  <c r="M19" i="7"/>
  <c r="L14" i="7"/>
  <c r="L11" i="7"/>
  <c r="L15" i="7" s="1"/>
  <c r="I57" i="7"/>
  <c r="F56" i="7"/>
  <c r="I56" i="7" s="1"/>
  <c r="I55" i="7"/>
  <c r="F54" i="7"/>
  <c r="I54" i="7" s="1"/>
  <c r="J53" i="7"/>
  <c r="F53" i="7"/>
  <c r="I53" i="7" s="1"/>
  <c r="I52" i="7"/>
  <c r="I51" i="7"/>
  <c r="I50" i="7"/>
  <c r="F49" i="7"/>
  <c r="I49" i="7" s="1"/>
  <c r="J48" i="7"/>
  <c r="J58" i="7" s="1"/>
  <c r="F48" i="7"/>
  <c r="E58" i="7" s="1"/>
  <c r="I47" i="7"/>
  <c r="I46" i="7"/>
  <c r="I45" i="7"/>
  <c r="I44" i="7"/>
  <c r="I43" i="7"/>
  <c r="I42" i="7"/>
  <c r="I41" i="7"/>
  <c r="I40" i="7"/>
  <c r="I39" i="7"/>
  <c r="I38" i="7"/>
  <c r="I37" i="7"/>
  <c r="J34" i="7"/>
  <c r="E34" i="7"/>
  <c r="I33" i="7"/>
  <c r="I32" i="7"/>
  <c r="I31" i="7"/>
  <c r="I30" i="7"/>
  <c r="I29" i="7"/>
  <c r="I28" i="7"/>
  <c r="I27" i="7"/>
  <c r="I26" i="7"/>
  <c r="I34" i="7" s="1"/>
  <c r="I25" i="7"/>
  <c r="I24" i="7"/>
  <c r="J21" i="7"/>
  <c r="I21" i="7"/>
  <c r="E21" i="7"/>
  <c r="F85" i="6" l="1"/>
  <c r="H85" i="6" s="1"/>
  <c r="H82" i="6" s="1"/>
  <c r="F81" i="6"/>
  <c r="H81" i="6" s="1"/>
  <c r="H79" i="6"/>
  <c r="I48" i="7"/>
  <c r="I58" i="7" s="1"/>
  <c r="F210" i="6" l="1"/>
  <c r="F215" i="6" s="1"/>
  <c r="H215" i="6" s="1"/>
  <c r="F208" i="6"/>
  <c r="H208" i="6" s="1"/>
  <c r="H283" i="6"/>
  <c r="H282" i="6" s="1"/>
  <c r="H281" i="6"/>
  <c r="H280" i="6"/>
  <c r="H279" i="6"/>
  <c r="H278" i="6"/>
  <c r="H276" i="6"/>
  <c r="H275" i="6"/>
  <c r="H274" i="6"/>
  <c r="H273" i="6"/>
  <c r="H272" i="6"/>
  <c r="H271" i="6"/>
  <c r="H270" i="6"/>
  <c r="H269" i="6"/>
  <c r="H268" i="6"/>
  <c r="H267" i="6"/>
  <c r="H266" i="6"/>
  <c r="H265" i="6"/>
  <c r="H256" i="6"/>
  <c r="H255" i="6"/>
  <c r="H254" i="6"/>
  <c r="H253" i="6"/>
  <c r="H252" i="6"/>
  <c r="H251" i="6"/>
  <c r="H250" i="6"/>
  <c r="H249" i="6"/>
  <c r="H248" i="6"/>
  <c r="H247" i="6"/>
  <c r="H246" i="6"/>
  <c r="H245" i="6"/>
  <c r="H244" i="6"/>
  <c r="H243" i="6"/>
  <c r="H242" i="6"/>
  <c r="H241" i="6"/>
  <c r="H240" i="6"/>
  <c r="H239" i="6"/>
  <c r="H238" i="6"/>
  <c r="H237" i="6"/>
  <c r="H236" i="6"/>
  <c r="H235" i="6"/>
  <c r="H234" i="6"/>
  <c r="H233" i="6"/>
  <c r="H232" i="6"/>
  <c r="H231" i="6"/>
  <c r="H230" i="6"/>
  <c r="H229" i="6"/>
  <c r="H228" i="6"/>
  <c r="H227" i="6"/>
  <c r="H226" i="6"/>
  <c r="H225" i="6"/>
  <c r="H224" i="6"/>
  <c r="H223" i="6"/>
  <c r="H222" i="6"/>
  <c r="H221" i="6"/>
  <c r="H220" i="6"/>
  <c r="H219" i="6"/>
  <c r="H218" i="6"/>
  <c r="F110" i="6"/>
  <c r="F111" i="6" s="1"/>
  <c r="C34" i="11" l="1"/>
  <c r="H217" i="6"/>
  <c r="F211" i="6"/>
  <c r="H264" i="6"/>
  <c r="H277" i="6"/>
  <c r="H111" i="6"/>
  <c r="F112" i="6"/>
  <c r="H110" i="6"/>
  <c r="F108" i="6"/>
  <c r="H108" i="6" s="1"/>
  <c r="F106" i="6"/>
  <c r="H106" i="6" s="1"/>
  <c r="F101" i="6"/>
  <c r="F102" i="6" s="1"/>
  <c r="H99" i="6"/>
  <c r="F97" i="6"/>
  <c r="H97" i="6" s="1"/>
  <c r="F94" i="6"/>
  <c r="H94" i="6" s="1"/>
  <c r="H98" i="6"/>
  <c r="F88" i="6"/>
  <c r="F89" i="6" s="1"/>
  <c r="F37" i="8"/>
  <c r="G92" i="6" s="1"/>
  <c r="F33" i="8"/>
  <c r="G210" i="6" s="1"/>
  <c r="H210" i="6" s="1"/>
  <c r="F26" i="8"/>
  <c r="G209" i="6" s="1"/>
  <c r="H209" i="6" s="1"/>
  <c r="G89" i="6" l="1"/>
  <c r="H89" i="6" s="1"/>
  <c r="G90" i="6"/>
  <c r="F213" i="6"/>
  <c r="H213" i="6" s="1"/>
  <c r="F212" i="6"/>
  <c r="F214" i="6"/>
  <c r="H214" i="6" s="1"/>
  <c r="H216" i="6"/>
  <c r="H211" i="6"/>
  <c r="F105" i="6"/>
  <c r="F103" i="6"/>
  <c r="H112" i="6"/>
  <c r="F113" i="6"/>
  <c r="H102" i="6"/>
  <c r="H101" i="6"/>
  <c r="F107" i="6"/>
  <c r="H107" i="6" s="1"/>
  <c r="F90" i="6"/>
  <c r="H88" i="6"/>
  <c r="C31" i="11" l="1"/>
  <c r="D33" i="11" s="1"/>
  <c r="F33" i="11"/>
  <c r="E33" i="11"/>
  <c r="H207" i="6"/>
  <c r="C28" i="11" s="1"/>
  <c r="H113" i="6"/>
  <c r="F114" i="6"/>
  <c r="H114" i="6" s="1"/>
  <c r="F104" i="6"/>
  <c r="H103" i="6"/>
  <c r="F95" i="6"/>
  <c r="F91" i="6"/>
  <c r="H90" i="6"/>
  <c r="I33" i="11" l="1"/>
  <c r="H33" i="11"/>
  <c r="G33" i="11"/>
  <c r="F30" i="11"/>
  <c r="G30" i="11"/>
  <c r="E30" i="11"/>
  <c r="H109" i="6"/>
  <c r="C22" i="11" s="1"/>
  <c r="H105" i="6"/>
  <c r="H104" i="6"/>
  <c r="F92" i="6"/>
  <c r="H91" i="6"/>
  <c r="F96" i="6"/>
  <c r="H96" i="6" s="1"/>
  <c r="H95" i="6"/>
  <c r="I24" i="11" l="1"/>
  <c r="H100" i="6"/>
  <c r="F93" i="6"/>
  <c r="H93" i="6" s="1"/>
  <c r="H92" i="6"/>
  <c r="H87" i="6" l="1"/>
  <c r="H86" i="6" s="1"/>
  <c r="C19" i="11" l="1"/>
  <c r="G21" i="11" s="1"/>
  <c r="H78" i="6"/>
  <c r="H188" i="6"/>
  <c r="H189" i="6"/>
  <c r="H190" i="6"/>
  <c r="H191" i="6"/>
  <c r="H192" i="6"/>
  <c r="H193" i="6"/>
  <c r="H194" i="6"/>
  <c r="H195" i="6"/>
  <c r="H196" i="6"/>
  <c r="H197" i="6"/>
  <c r="H198" i="6"/>
  <c r="H199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200" i="6"/>
  <c r="H137" i="6"/>
  <c r="H136" i="6"/>
  <c r="H135" i="6"/>
  <c r="H134" i="6"/>
  <c r="H133" i="6"/>
  <c r="H132" i="6"/>
  <c r="H131" i="6"/>
  <c r="H130" i="6"/>
  <c r="H129" i="6"/>
  <c r="H128" i="6"/>
  <c r="F74" i="6"/>
  <c r="F71" i="6"/>
  <c r="H71" i="6" s="1"/>
  <c r="H68" i="6"/>
  <c r="D21" i="11" l="1"/>
  <c r="E21" i="11"/>
  <c r="F21" i="11"/>
  <c r="H127" i="6"/>
  <c r="H187" i="6"/>
  <c r="H116" i="6"/>
  <c r="H115" i="6" l="1"/>
  <c r="C25" i="11" l="1"/>
  <c r="F70" i="6"/>
  <c r="F69" i="6"/>
  <c r="H69" i="6" s="1"/>
  <c r="B3" i="7"/>
  <c r="H22" i="6"/>
  <c r="E27" i="11" l="1"/>
  <c r="F27" i="11"/>
  <c r="I27" i="11"/>
  <c r="D27" i="11"/>
  <c r="H27" i="11"/>
  <c r="G27" i="11"/>
  <c r="H70" i="6"/>
  <c r="F67" i="6"/>
  <c r="H12" i="6"/>
  <c r="H76" i="6" l="1"/>
  <c r="H77" i="6"/>
  <c r="H73" i="6"/>
  <c r="H72" i="6"/>
  <c r="F50" i="6"/>
  <c r="H50" i="6" s="1"/>
  <c r="H75" i="6" l="1"/>
  <c r="H67" i="6"/>
  <c r="H74" i="6"/>
  <c r="F60" i="6"/>
  <c r="E24" i="8"/>
  <c r="E21" i="8"/>
  <c r="F15" i="8"/>
  <c r="E12" i="8"/>
  <c r="F12" i="8" s="1"/>
  <c r="F2" i="8"/>
  <c r="G63" i="6" l="1"/>
  <c r="G56" i="6"/>
  <c r="G64" i="6"/>
  <c r="H66" i="6"/>
  <c r="H65" i="6" s="1"/>
  <c r="F64" i="6"/>
  <c r="H60" i="6"/>
  <c r="F61" i="6"/>
  <c r="H61" i="6" s="1"/>
  <c r="F62" i="6"/>
  <c r="H64" i="6" l="1"/>
  <c r="C16" i="11"/>
  <c r="G18" i="11" s="1"/>
  <c r="F63" i="6"/>
  <c r="H62" i="6"/>
  <c r="I18" i="11" l="1"/>
  <c r="F18" i="11"/>
  <c r="H18" i="11"/>
  <c r="F54" i="6"/>
  <c r="F53" i="6"/>
  <c r="H53" i="6" s="1"/>
  <c r="B8" i="7"/>
  <c r="B9" i="7"/>
  <c r="F55" i="6" l="1"/>
  <c r="H55" i="6" s="1"/>
  <c r="H54" i="6"/>
  <c r="F56" i="6"/>
  <c r="H56" i="6" s="1"/>
  <c r="F58" i="6"/>
  <c r="F57" i="6"/>
  <c r="H57" i="6" s="1"/>
  <c r="F40" i="6"/>
  <c r="F36" i="6"/>
  <c r="F34" i="6"/>
  <c r="F37" i="6" s="1"/>
  <c r="F32" i="6"/>
  <c r="F47" i="6" s="1"/>
  <c r="F21" i="6"/>
  <c r="F16" i="6"/>
  <c r="F17" i="6" s="1"/>
  <c r="F29" i="6" l="1"/>
  <c r="F30" i="6"/>
  <c r="F25" i="6"/>
  <c r="H47" i="6"/>
  <c r="F48" i="6"/>
  <c r="H48" i="6" s="1"/>
  <c r="F49" i="6"/>
  <c r="H49" i="6" s="1"/>
  <c r="H32" i="6"/>
  <c r="F46" i="6"/>
  <c r="F38" i="6"/>
  <c r="F35" i="6"/>
  <c r="F41" i="6"/>
  <c r="F24" i="6"/>
  <c r="F42" i="6" l="1"/>
  <c r="F43" i="6"/>
  <c r="F44" i="6" s="1"/>
  <c r="F45" i="6" s="1"/>
  <c r="H46" i="6" l="1"/>
  <c r="H44" i="6"/>
  <c r="H43" i="6"/>
  <c r="H45" i="6"/>
  <c r="H41" i="6"/>
  <c r="H40" i="6"/>
  <c r="H38" i="6"/>
  <c r="H37" i="6"/>
  <c r="H36" i="6"/>
  <c r="H35" i="6"/>
  <c r="H34" i="6"/>
  <c r="H33" i="6" l="1"/>
  <c r="H42" i="6"/>
  <c r="H39" i="6" s="1"/>
  <c r="H31" i="6" l="1"/>
  <c r="C10" i="11" s="1"/>
  <c r="H11" i="6"/>
  <c r="G12" i="11" l="1"/>
  <c r="F12" i="11"/>
  <c r="H12" i="11"/>
  <c r="H13" i="6"/>
  <c r="F10" i="6" l="1"/>
  <c r="H27" i="6" l="1"/>
  <c r="F26" i="6"/>
  <c r="F28" i="6" s="1"/>
  <c r="H28" i="6" s="1"/>
  <c r="F19" i="6"/>
  <c r="F18" i="6" s="1"/>
  <c r="H18" i="6" s="1"/>
  <c r="H10" i="6"/>
  <c r="F9" i="6"/>
  <c r="H9" i="6" s="1"/>
  <c r="H8" i="6"/>
  <c r="H7" i="6"/>
  <c r="H6" i="6"/>
  <c r="H5" i="6"/>
  <c r="H4" i="6" l="1"/>
  <c r="C4" i="11" s="1"/>
  <c r="H19" i="6"/>
  <c r="H21" i="6"/>
  <c r="F23" i="6"/>
  <c r="H23" i="6" s="1"/>
  <c r="H16" i="6"/>
  <c r="H17" i="6"/>
  <c r="H25" i="6"/>
  <c r="H26" i="6"/>
  <c r="D6" i="11" l="1"/>
  <c r="D37" i="11" s="1"/>
  <c r="H6" i="11"/>
  <c r="H37" i="11" s="1"/>
  <c r="E6" i="11"/>
  <c r="E37" i="11" s="1"/>
  <c r="G6" i="11"/>
  <c r="G37" i="11" s="1"/>
  <c r="F6" i="11"/>
  <c r="F37" i="11" s="1"/>
  <c r="I6" i="11"/>
  <c r="I37" i="11" s="1"/>
  <c r="H15" i="6"/>
  <c r="H30" i="6"/>
  <c r="H24" i="6"/>
  <c r="H29" i="6"/>
  <c r="H20" i="6" l="1"/>
  <c r="H14" i="6" s="1"/>
  <c r="C7" i="11" s="1"/>
  <c r="E9" i="11" l="1"/>
  <c r="H9" i="11"/>
  <c r="D9" i="11"/>
  <c r="G9" i="11"/>
  <c r="F9" i="11"/>
  <c r="E9" i="8"/>
  <c r="F9" i="8" s="1"/>
  <c r="H63" i="6" l="1"/>
  <c r="H59" i="6" s="1"/>
  <c r="H58" i="6"/>
  <c r="H52" i="6" s="1"/>
  <c r="H51" i="6" l="1"/>
  <c r="H285" i="6" s="1"/>
  <c r="C13" i="11" l="1"/>
  <c r="E15" i="11" l="1"/>
  <c r="D15" i="11"/>
  <c r="F15" i="11"/>
  <c r="C37" i="11"/>
</calcChain>
</file>

<file path=xl/comments1.xml><?xml version="1.0" encoding="utf-8"?>
<comments xmlns="http://schemas.openxmlformats.org/spreadsheetml/2006/main">
  <authors>
    <author>Fabiula Domingues</author>
    <author>Fabiula</author>
  </authors>
  <commentList>
    <comment ref="F7" authorId="0" shapeId="0">
      <text>
        <r>
          <rPr>
            <b/>
            <sz val="9"/>
            <color indexed="81"/>
            <rFont val="Segoe UI"/>
            <family val="2"/>
          </rPr>
          <t>Fabiula Domingues:</t>
        </r>
        <r>
          <rPr>
            <sz val="9"/>
            <color indexed="81"/>
            <rFont val="Segoe UI"/>
            <family val="2"/>
          </rPr>
          <t xml:space="preserve">
1kg/m² - R$ 50,00 pct com 6Kg</t>
        </r>
      </text>
    </comment>
    <comment ref="D24" authorId="1" shapeId="0">
      <text>
        <r>
          <rPr>
            <b/>
            <sz val="9"/>
            <color indexed="81"/>
            <rFont val="Segoe UI"/>
            <family val="2"/>
          </rPr>
          <t>Fabiula:</t>
        </r>
        <r>
          <rPr>
            <sz val="9"/>
            <color indexed="81"/>
            <rFont val="Segoe UI"/>
            <family val="2"/>
          </rPr>
          <t xml:space="preserve">
Faz 130m² por demão
Embalagem rende de 2 a 3 demãos</t>
        </r>
      </text>
    </comment>
  </commentList>
</comments>
</file>

<file path=xl/comments2.xml><?xml version="1.0" encoding="utf-8"?>
<comments xmlns="http://schemas.openxmlformats.org/spreadsheetml/2006/main">
  <authors>
    <author>Giuliana Conte</author>
    <author>Fabiula</author>
  </authors>
  <commentList>
    <comment ref="I29" authorId="0" shapeId="0">
      <text>
        <r>
          <rPr>
            <b/>
            <sz val="9"/>
            <color indexed="81"/>
            <rFont val="Segoe UI"/>
            <family val="2"/>
          </rPr>
          <t>Giuliana Conte:</t>
        </r>
        <r>
          <rPr>
            <sz val="9"/>
            <color indexed="81"/>
            <rFont val="Segoe UI"/>
            <family val="2"/>
          </rPr>
          <t xml:space="preserve">
0,3376 - área do gradil metálico</t>
        </r>
      </text>
    </comment>
    <comment ref="I30" authorId="0" shapeId="0">
      <text>
        <r>
          <rPr>
            <b/>
            <sz val="9"/>
            <color indexed="81"/>
            <rFont val="Segoe UI"/>
            <family val="2"/>
          </rPr>
          <t>Giuliana Conte:</t>
        </r>
        <r>
          <rPr>
            <sz val="9"/>
            <color indexed="81"/>
            <rFont val="Segoe UI"/>
            <family val="2"/>
          </rPr>
          <t xml:space="preserve">
0,3376 - área do gradil metálico</t>
        </r>
      </text>
    </comment>
    <comment ref="I32" authorId="0" shapeId="0">
      <text>
        <r>
          <rPr>
            <b/>
            <sz val="9"/>
            <color indexed="81"/>
            <rFont val="Segoe UI"/>
            <family val="2"/>
          </rPr>
          <t>Giuliana Conte:</t>
        </r>
        <r>
          <rPr>
            <sz val="9"/>
            <color indexed="81"/>
            <rFont val="Segoe UI"/>
            <family val="2"/>
          </rPr>
          <t xml:space="preserve">
0,3376 - área do gradil metálico</t>
        </r>
      </text>
    </comment>
    <comment ref="I33" authorId="0" shapeId="0">
      <text>
        <r>
          <rPr>
            <b/>
            <sz val="9"/>
            <color indexed="81"/>
            <rFont val="Segoe UI"/>
            <family val="2"/>
          </rPr>
          <t>Giuliana Conte:</t>
        </r>
        <r>
          <rPr>
            <sz val="9"/>
            <color indexed="81"/>
            <rFont val="Segoe UI"/>
            <family val="2"/>
          </rPr>
          <t xml:space="preserve">
0,3376 - área do gradil metálico</t>
        </r>
      </text>
    </comment>
    <comment ref="L62" authorId="1" shapeId="0">
      <text>
        <r>
          <rPr>
            <b/>
            <sz val="9"/>
            <color indexed="81"/>
            <rFont val="Segoe UI"/>
            <family val="2"/>
          </rPr>
          <t>Fabiula:</t>
        </r>
        <r>
          <rPr>
            <sz val="9"/>
            <color indexed="81"/>
            <rFont val="Segoe UI"/>
            <family val="2"/>
          </rPr>
          <t xml:space="preserve">
Qual a diferença entre o piso nº 6 e nº 9?</t>
        </r>
      </text>
    </comment>
  </commentList>
</comments>
</file>

<file path=xl/sharedStrings.xml><?xml version="1.0" encoding="utf-8"?>
<sst xmlns="http://schemas.openxmlformats.org/spreadsheetml/2006/main" count="1903" uniqueCount="1068">
  <si>
    <t>-</t>
  </si>
  <si>
    <t>COTAÇÃO</t>
  </si>
  <si>
    <t>ITEM</t>
  </si>
  <si>
    <t>1.1</t>
  </si>
  <si>
    <t>1.2</t>
  </si>
  <si>
    <t>1.3</t>
  </si>
  <si>
    <t>2.1</t>
  </si>
  <si>
    <t>2.2</t>
  </si>
  <si>
    <t>UNIDADE</t>
  </si>
  <si>
    <t>CUSTO UNITÁRIO</t>
  </si>
  <si>
    <t>CUSTO TOTAL</t>
  </si>
  <si>
    <t>REF. PÚBLICA</t>
  </si>
  <si>
    <t>COD. REF. PUB.</t>
  </si>
  <si>
    <t>m²</t>
  </si>
  <si>
    <t>QTD</t>
  </si>
  <si>
    <t>und</t>
  </si>
  <si>
    <t>3.1</t>
  </si>
  <si>
    <t>3.2</t>
  </si>
  <si>
    <t>DESCRIÇÃO</t>
  </si>
  <si>
    <t>CDHU</t>
  </si>
  <si>
    <t>4.1.1</t>
  </si>
  <si>
    <t>4.1.2</t>
  </si>
  <si>
    <t>4.1.3</t>
  </si>
  <si>
    <t>4.1.4</t>
  </si>
  <si>
    <t>Canteiro de Obras</t>
  </si>
  <si>
    <t>Placa de identificação para obra</t>
  </si>
  <si>
    <t>02.08.020</t>
  </si>
  <si>
    <t>02.09.030</t>
  </si>
  <si>
    <t>m</t>
  </si>
  <si>
    <t>Montagem e desmontagem de andaime torre metálica com altura superior a 10 m</t>
  </si>
  <si>
    <t>mxmês</t>
  </si>
  <si>
    <t>02.05.080</t>
  </si>
  <si>
    <t>02.05.202</t>
  </si>
  <si>
    <t>Proteção em madeira e lona plástica</t>
  </si>
  <si>
    <t>m³</t>
  </si>
  <si>
    <t>02.03.500</t>
  </si>
  <si>
    <t>Manta termoacústica em fibra cerâmica aluminizada, espessura de 38 mm</t>
  </si>
  <si>
    <t xml:space="preserve">Estrutura em contra caibros para fixação de manta entre a telhas de barro </t>
  </si>
  <si>
    <t>Estrutura em ripas para telhas de barro</t>
  </si>
  <si>
    <t>Imunizante para madeira</t>
  </si>
  <si>
    <t>32.06.396</t>
  </si>
  <si>
    <t>15.01.310</t>
  </si>
  <si>
    <t>33.01.060</t>
  </si>
  <si>
    <t>33.03.760</t>
  </si>
  <si>
    <t>04.03.020</t>
  </si>
  <si>
    <t>Águas pluviais</t>
  </si>
  <si>
    <t>16.33.022</t>
  </si>
  <si>
    <t>Calha, rufo, afins em chapa galvanizada nº 24 ‐ corte 0,33 m</t>
  </si>
  <si>
    <t xml:space="preserve">m </t>
  </si>
  <si>
    <t>46.04.030</t>
  </si>
  <si>
    <t>Tubo de PVC rígido tipo PBA classe 15, DN= 100mm, (DE= 110mm), inclusive conexões</t>
  </si>
  <si>
    <t>Retirada de telhamento em barro - capa e canal</t>
  </si>
  <si>
    <t xml:space="preserve">m² </t>
  </si>
  <si>
    <t>16.02.045</t>
  </si>
  <si>
    <t>Telha de barro colonial/paulista</t>
  </si>
  <si>
    <t>Remoção de entulho de obra com caçamba metálica, durante todo período de execução - material volumoso e misturado por alvenaria, terra, madeira, papel, plástico e metal</t>
  </si>
  <si>
    <t>05.07.050</t>
  </si>
  <si>
    <t>8.1</t>
  </si>
  <si>
    <t>8.2</t>
  </si>
  <si>
    <t>9.1</t>
  </si>
  <si>
    <t>Esmalte à base água em superfície metálica, inclusive preparo</t>
  </si>
  <si>
    <t>33.11.050</t>
  </si>
  <si>
    <t>33.10.030</t>
  </si>
  <si>
    <t>Hidrorepelente incolor à base de silano-siloxano oligomérico disperso em água (topo das alvenarias)</t>
  </si>
  <si>
    <t>Limpeza complementar com hidrojateamento - telhas e topo das alvenarias</t>
  </si>
  <si>
    <t>55.01.030</t>
  </si>
  <si>
    <t>9.2</t>
  </si>
  <si>
    <t>9.3</t>
  </si>
  <si>
    <t>und x mês</t>
  </si>
  <si>
    <t>Tapume fixo para fechamento de áreas, com portão</t>
  </si>
  <si>
    <t>02.03.120</t>
  </si>
  <si>
    <t>Andaime torre metálico (1,5 x 1,5 m) com piso metálico e escada</t>
  </si>
  <si>
    <t>Limpeza mecanizada do terreno</t>
  </si>
  <si>
    <t>02.02.140</t>
  </si>
  <si>
    <t>Locação de container tipo sanitário com 2 vasos sanitários, 2 lavatórios, 2 mictórios e 4 pontos para chuveiro - área mínima de 13,80 m²</t>
  </si>
  <si>
    <t>02.02.150</t>
  </si>
  <si>
    <t>Locação de container tipo depósito - área mínima de 13,80 m²</t>
  </si>
  <si>
    <t>Lajes</t>
  </si>
  <si>
    <t>RESTAURO ÁREAS COM LIXIVIAÇÃO</t>
  </si>
  <si>
    <t>01.23.020</t>
  </si>
  <si>
    <t xml:space="preserve">LIMPEZA COM ESCOVA DE AÇO DE CADA PEÇA </t>
  </si>
  <si>
    <t>LIMPEZA COMPLEMENTAR COM HIDROJATEAMENTO</t>
  </si>
  <si>
    <t>33.01.280</t>
  </si>
  <si>
    <t>REPARO DE TRINCAS RASAS</t>
  </si>
  <si>
    <t>33.01.040</t>
  </si>
  <si>
    <t>ESTUCAMENTO E LIXAMENTO DO CONCRETO DETERIORADO</t>
  </si>
  <si>
    <t>TINTA ACRÍLICA ANTIMOFO EM MASSA, INCLUSIVE PREPARO, DUAS DEMÃOS</t>
  </si>
  <si>
    <t>RESTAURO ARMADURAS</t>
  </si>
  <si>
    <t>01.23.070</t>
  </si>
  <si>
    <t>DEMARCAÇÃO DE ÁREA COM DISCO DE CORTE  DIAMANTADO</t>
  </si>
  <si>
    <t>03.03.020</t>
  </si>
  <si>
    <t>APICOAMENTO MANUAL DE PISO, PAREDE OU TETO</t>
  </si>
  <si>
    <t>01.23.056</t>
  </si>
  <si>
    <t>TRATAMENTO DE ARMADURAS COM PRODUTO ANTICORROSIVO A BASE DE ZINCO</t>
  </si>
  <si>
    <t>11.20.120</t>
  </si>
  <si>
    <t>REPARO SUPERFICIAL COM ARGAMASSA POLIMÉRICA (TIXOTRÓPICA), BICOMPONENTE</t>
  </si>
  <si>
    <t>17.01.020</t>
  </si>
  <si>
    <t>ARGAMASSA DE REGULARIZAÇÃO E/OU PROTEÇÃO</t>
  </si>
  <si>
    <t>Limpeza manual telhamento e entreforro</t>
  </si>
  <si>
    <t>Quadro de áreas</t>
  </si>
  <si>
    <t>Retirada de revestimento em pedra, granito ou mármore, em piso</t>
  </si>
  <si>
    <t>04.04.020</t>
  </si>
  <si>
    <t>Impermeabilização em membrana de asfalto modificado com elastômeros, na cor preta e reforço em tela poliéster</t>
  </si>
  <si>
    <t>32.16.040</t>
  </si>
  <si>
    <t>1.4</t>
  </si>
  <si>
    <t>1.5</t>
  </si>
  <si>
    <t>1.6</t>
  </si>
  <si>
    <t>1.7</t>
  </si>
  <si>
    <t>1.8</t>
  </si>
  <si>
    <t>1.9</t>
  </si>
  <si>
    <t>3.3</t>
  </si>
  <si>
    <t>4.1</t>
  </si>
  <si>
    <t>4.2</t>
  </si>
  <si>
    <t>4.2.1</t>
  </si>
  <si>
    <t>4.2.2</t>
  </si>
  <si>
    <t>4.2.3</t>
  </si>
  <si>
    <t>4.2.4</t>
  </si>
  <si>
    <t>4.2.5</t>
  </si>
  <si>
    <t>Tijolo Aparente</t>
  </si>
  <si>
    <t>04.21.060</t>
  </si>
  <si>
    <t>Remoção de perfilado e elementos espúrios</t>
  </si>
  <si>
    <t>Limpeza complementar com hidrojateamento - panos gerais</t>
  </si>
  <si>
    <t>03.02.040</t>
  </si>
  <si>
    <t>Demolição manual de alvenaria de elevação ou elemento vazado, incluindo revestimento - tijolos com erosão</t>
  </si>
  <si>
    <t>Massa de Recomposição dos Tijolos</t>
  </si>
  <si>
    <t>B.01.000.010140</t>
  </si>
  <si>
    <t>Pintor</t>
  </si>
  <si>
    <t>h</t>
  </si>
  <si>
    <t>B.01.000.010141</t>
  </si>
  <si>
    <t>Ajudante de pintor</t>
  </si>
  <si>
    <t>B.01.000.020113</t>
  </si>
  <si>
    <t>Arquiteto Junior</t>
  </si>
  <si>
    <t>J.01.000.038014</t>
  </si>
  <si>
    <t>Lixa massa/madeira uso geral Norton, Alcar ou equivalente (médias)</t>
  </si>
  <si>
    <t>J.02.000.038017</t>
  </si>
  <si>
    <t>Massa corrida mineral</t>
  </si>
  <si>
    <t>kg</t>
  </si>
  <si>
    <t>Limpeza complementar com hidrojateamento - elementos decorativos</t>
  </si>
  <si>
    <t>Hidrorrepelente líquido incolor, a base silano/siloxano</t>
  </si>
  <si>
    <t>03.10.120</t>
  </si>
  <si>
    <t>Remoção de pintura em massa com produtos químicos</t>
  </si>
  <si>
    <t>Limpeza complementar com hidrojateamento</t>
  </si>
  <si>
    <t>Argamassa à base de silicato de potássio para emboço</t>
  </si>
  <si>
    <t>Kg</t>
  </si>
  <si>
    <t>Telhas</t>
  </si>
  <si>
    <t>Estrutura lajes</t>
  </si>
  <si>
    <t>Rufo telhamento</t>
  </si>
  <si>
    <t>Perimetro lajes</t>
  </si>
  <si>
    <t>Alvenarias Externas s/ revestimento</t>
  </si>
  <si>
    <t>Alvenarias Externas de Concreto</t>
  </si>
  <si>
    <t>COMP. 01</t>
  </si>
  <si>
    <t>UND</t>
  </si>
  <si>
    <t>QTDxUND</t>
  </si>
  <si>
    <t>L</t>
  </si>
  <si>
    <t>l</t>
  </si>
  <si>
    <t>Valor Total</t>
  </si>
  <si>
    <t>2,85</t>
  </si>
  <si>
    <t>193,0</t>
  </si>
  <si>
    <t>COMP. 02</t>
  </si>
  <si>
    <t>Tinta Mineral M.O.</t>
  </si>
  <si>
    <t>Fundo preparador tinta mineral</t>
  </si>
  <si>
    <t>Tinta Mineral Ecossílica</t>
  </si>
  <si>
    <t>54.07.130</t>
  </si>
  <si>
    <t>54.07.210</t>
  </si>
  <si>
    <t>Piso em ladrilho hidráulico várias cores 20 x 20 cm, assentado com argamassa colante industrializada</t>
  </si>
  <si>
    <t>Rejuntamento de piso em ladrilho hidráulico (20 x 20 x 1,8 cm) com argamassa industrializada para rejunte, juntas de 2 mm</t>
  </si>
  <si>
    <t>17.40.150</t>
  </si>
  <si>
    <t>Resina acrílica para piso</t>
  </si>
  <si>
    <t>Áreas internas Bloco Frontal</t>
  </si>
  <si>
    <t>Massa de Recomposição</t>
  </si>
  <si>
    <t>Retirada de piso em tacos de madeira</t>
  </si>
  <si>
    <t>04.05.020</t>
  </si>
  <si>
    <t>20.04.020</t>
  </si>
  <si>
    <t>Rodapé de madeira de 7 x 1,5 cm</t>
  </si>
  <si>
    <t>20.10.040</t>
  </si>
  <si>
    <t>Raspagem com calafetação e aplicação de verniz</t>
  </si>
  <si>
    <t>20.20.202</t>
  </si>
  <si>
    <t>5.1</t>
  </si>
  <si>
    <t>5.2</t>
  </si>
  <si>
    <t>6.1</t>
  </si>
  <si>
    <t>6.2</t>
  </si>
  <si>
    <t>7.1</t>
  </si>
  <si>
    <t>7.2</t>
  </si>
  <si>
    <t>10.1</t>
  </si>
  <si>
    <t>10.2</t>
  </si>
  <si>
    <t>10.3</t>
  </si>
  <si>
    <t>Limpeza complementar e especial de piso com produtos químicos</t>
  </si>
  <si>
    <t>55.01.070</t>
  </si>
  <si>
    <t>18.12.020</t>
  </si>
  <si>
    <t>Revestimento em pastilha de porcelana natural ou esmaltada de 2,5x5 cm, assentado e rejuntado com argamassa colante industrializada</t>
  </si>
  <si>
    <t>11.1</t>
  </si>
  <si>
    <t>Telhamento Colonial</t>
  </si>
  <si>
    <t>Retirada de telhamento perfil e material qualquer, exceto barro</t>
  </si>
  <si>
    <t>04.03.040</t>
  </si>
  <si>
    <t>Cobertura</t>
  </si>
  <si>
    <t>Lajes e Pergolados</t>
  </si>
  <si>
    <t>PLANILHA DE ORÇAMENTO - RESTAURO CASA SEDE FAZENDA CAPUAVA</t>
  </si>
  <si>
    <t>Argamassa Histórica</t>
  </si>
  <si>
    <t>Restauro Alvenarias Externas</t>
  </si>
  <si>
    <t>Restauração de Pisos</t>
  </si>
  <si>
    <t>Madeiramento</t>
  </si>
  <si>
    <t>Recolocação de tacos soltos com cola</t>
  </si>
  <si>
    <t>Recolocação de rodapé e cordão de madeira</t>
  </si>
  <si>
    <t>Argamassa de regularização e/ou proteção</t>
  </si>
  <si>
    <t>20.20.040</t>
  </si>
  <si>
    <t>20.20.100</t>
  </si>
  <si>
    <t>Soalho em tábua de madeira aparelhada</t>
  </si>
  <si>
    <t>Cerâmica</t>
  </si>
  <si>
    <t>Instalação Elétrica</t>
  </si>
  <si>
    <t>Instalação Hidráulica</t>
  </si>
  <si>
    <t>Pedra</t>
  </si>
  <si>
    <t>Lajota e Tijoleiras</t>
  </si>
  <si>
    <t>TOTAL EXECUÇÃO</t>
  </si>
  <si>
    <t>Hidrorepelente incolor à base de silano-siloxano oligomérico disperso em solvente</t>
  </si>
  <si>
    <t>33.03.770</t>
  </si>
  <si>
    <t>Madeira</t>
  </si>
  <si>
    <t>Esquadrias</t>
  </si>
  <si>
    <t>Metálica</t>
  </si>
  <si>
    <t>Demolição de perfis muito oxidados e com perda grave de sessão</t>
  </si>
  <si>
    <t>Inserção de perfis complementares nas lacunas das esquadrias e sobre os perfilados e caixonetes</t>
  </si>
  <si>
    <t>Retirada das esquadrias e mapeamento de danos</t>
  </si>
  <si>
    <t>36.03.050</t>
  </si>
  <si>
    <t>Caixa de medição externa tipo ´N´ (1300 x 1200 x 270) mm, padrão Concessionárias</t>
  </si>
  <si>
    <t>37.01.020</t>
  </si>
  <si>
    <t>Quadro Telebrás de embutir de 200 x 200 x 120 mm</t>
  </si>
  <si>
    <t>37.04.280</t>
  </si>
  <si>
    <t>Quadro de distribuição universal de sobrepor, para disjuntores 44 DIN / 32 Bolt-on - 150 A - sem componentes</t>
  </si>
  <si>
    <t>37.03.240</t>
  </si>
  <si>
    <t>Quadro de distribuição universal de embutir, para disjuntores 56 DIN / 40 Bolt-on - 225 A - sem componentes</t>
  </si>
  <si>
    <t>37.03.210</t>
  </si>
  <si>
    <t>Quadro de distribuição universal de embutir, para disjuntores 24 DIN / 18 Bolt-on - 150 A - sem componentes</t>
  </si>
  <si>
    <t>37.25.100</t>
  </si>
  <si>
    <t>Disjuntor em caixa moldada tripolar, térmico e magnético fixos, tensão de isolamento 480/690V, de 70A até 150A</t>
  </si>
  <si>
    <t>37.13.910</t>
  </si>
  <si>
    <t>Mini-disjuntor termomagnético, tripolar 415 V, corrente de 80 A até 125 A</t>
  </si>
  <si>
    <t>37.13.890</t>
  </si>
  <si>
    <t>Mini-disjuntor termomagnético, tripolar 220/380 V, corrente de 40 A até 50 A</t>
  </si>
  <si>
    <t>37.13.880</t>
  </si>
  <si>
    <t>Mini-disjuntor termomagnético, tripolar 220/380 V, corrente de 10 A até 32 A</t>
  </si>
  <si>
    <t>37.13.840</t>
  </si>
  <si>
    <t>Mini-disjuntor termomagnético, bipolar 220/380 V, corrente de 10 A até 32 A</t>
  </si>
  <si>
    <t>37.13.800</t>
  </si>
  <si>
    <t>Mini-disjuntor termomagnético, unipolar 127/220 V, corrente de 10 A até 32 A</t>
  </si>
  <si>
    <t>37.17.100</t>
  </si>
  <si>
    <t>Dispositivo diferencial residual de 80 A x 30 mA - 4 polos</t>
  </si>
  <si>
    <t>37.17.074</t>
  </si>
  <si>
    <t>Dispositivo diferencial residual de 25 A x 30 mA - 4 polos</t>
  </si>
  <si>
    <t>37.24.032</t>
  </si>
  <si>
    <t>Supressor de surto monofásico, corrente nominal 20 kA, Imax. de surto 50 até 80 kA</t>
  </si>
  <si>
    <t>38.13.016</t>
  </si>
  <si>
    <t>Eletroduto corrugado em polietileno de alta densidade, DN= 40 mm, com acessórios</t>
  </si>
  <si>
    <t>38.13.010</t>
  </si>
  <si>
    <t>Eletroduto corrugado em polietileno de alta densidade, DN= 30 mm, com acessórios</t>
  </si>
  <si>
    <t>40.02.100</t>
  </si>
  <si>
    <t>Caixa de passagem em chapa, com tampa parafusada, 400 x 400 x 150 mm</t>
  </si>
  <si>
    <t>38.19.030</t>
  </si>
  <si>
    <t>Eletroduto de PVC corrugado flexível leve, diâmetro externo de 25 mm</t>
  </si>
  <si>
    <t>39.02.016</t>
  </si>
  <si>
    <t>Cabo de cobre de 2,5 mm², isolamento 750 V - isolação em PVC 70°C</t>
  </si>
  <si>
    <t>39.02.020</t>
  </si>
  <si>
    <t>Cabo de cobre de 4 mm², isolamento 750 V - isolação em PVC 70°C</t>
  </si>
  <si>
    <t>39.02.030</t>
  </si>
  <si>
    <t>Cabo de cobre de 6 mm², isolamento 750 V - isolação em PVC 70°C</t>
  </si>
  <si>
    <t>39.21.030</t>
  </si>
  <si>
    <t>Cabo de cobre flexível de 4 mm², isolamento 0,6/1kV - isolação HEPR 90°C</t>
  </si>
  <si>
    <t>39.21.040</t>
  </si>
  <si>
    <t>Cabo de cobre flexível de 6 mm², isolamento 0,6/1kV - isolação HEPR 90°C</t>
  </si>
  <si>
    <t>39.21.060</t>
  </si>
  <si>
    <t>Cabo de cobre flexível de 16 mm², isolamento 0,6/1kV - isolação HEPR 90°C</t>
  </si>
  <si>
    <t>39.21.070</t>
  </si>
  <si>
    <t>Cabo de cobre flexível de 25 mm², isolamento 0,6/1kV - isolação HEPR 90°C</t>
  </si>
  <si>
    <t>39.21.080</t>
  </si>
  <si>
    <t>Cabo de cobre flexível de 35 mm², isolamento 0,6/1kV - isolação HEPR 90°C</t>
  </si>
  <si>
    <t>39.21.100</t>
  </si>
  <si>
    <t>Cabo de cobre flexível de 70 mm², isolamento 0,6/1kV - isolação HEPR 90°C</t>
  </si>
  <si>
    <t>39.10.060</t>
  </si>
  <si>
    <t>Terminal de pressão/compressão para cabo de 6 até 10 mm²</t>
  </si>
  <si>
    <t>39.10.080</t>
  </si>
  <si>
    <t>Terminal de pressão/compressão para cabo de 16 mm²</t>
  </si>
  <si>
    <t>39.10.120</t>
  </si>
  <si>
    <t>Terminal de pressão/compressão para cabo de 25 mm²</t>
  </si>
  <si>
    <t>39.10.130</t>
  </si>
  <si>
    <t>Terminal de pressão/compressão para cabo de 35 mm²</t>
  </si>
  <si>
    <t>39.10.200</t>
  </si>
  <si>
    <t>Terminal de pressão/compressão para cabo de 70 mm²</t>
  </si>
  <si>
    <t>39.11.110</t>
  </si>
  <si>
    <t>Fio telefônico externo tipo FE-160</t>
  </si>
  <si>
    <t>40.01.020</t>
  </si>
  <si>
    <t>Caixa de ferro estampada 4´ x 2´</t>
  </si>
  <si>
    <t>40.01.040</t>
  </si>
  <si>
    <t>Caixa de ferro estampada 4´ x 4´</t>
  </si>
  <si>
    <t>40.01.080</t>
  </si>
  <si>
    <t>Caixa de ferro octogonal fundo móvel 4´ x 4´</t>
  </si>
  <si>
    <t>40.02.010</t>
  </si>
  <si>
    <t>Caixa de tomada em alumínio para piso 4´ x 4´</t>
  </si>
  <si>
    <t>40.04.450</t>
  </si>
  <si>
    <t>Tomada 2P+T de 10 A - 250 V, completa</t>
  </si>
  <si>
    <t>40.04.470</t>
  </si>
  <si>
    <t>Conjunto 2 tomadas 2P+T de 10 A, completo</t>
  </si>
  <si>
    <t>40.04.080</t>
  </si>
  <si>
    <t>Tomada para telefone 4P, padrão TELEBRÁS, com placa</t>
  </si>
  <si>
    <t>40.05.020</t>
  </si>
  <si>
    <t>Interruptor com 1 tecla simples e placa</t>
  </si>
  <si>
    <t>40.05.040</t>
  </si>
  <si>
    <t>Interruptor com 2 teclas simples e placa</t>
  </si>
  <si>
    <t>40.05.060</t>
  </si>
  <si>
    <t>Interruptor com 3 teclas simples e placa</t>
  </si>
  <si>
    <t>40.05.080</t>
  </si>
  <si>
    <t>Interruptor com 1 tecla paralelo e placa</t>
  </si>
  <si>
    <t>41.02.580</t>
  </si>
  <si>
    <t>Lâmpada LED 13,5W, com base E-27, 1400 até 1510 lm</t>
  </si>
  <si>
    <t>41.04.020</t>
  </si>
  <si>
    <t>Receptáculo de porcelana com parafuso de fixação com rosca E-27</t>
  </si>
  <si>
    <t>41.04.050</t>
  </si>
  <si>
    <t>Trilho eletrificado de alimentação com 1 circuito, em alumínio com pintura na cor branco, inclusive acessórios</t>
  </si>
  <si>
    <t>41.11.094</t>
  </si>
  <si>
    <t>Luminária LED de embutir para caixa de luz 4 x 2cm, para uso externo, tipo balizador de 3 W</t>
  </si>
  <si>
    <t>41.11.712</t>
  </si>
  <si>
    <t>Luminária LED redonda de embutir para parede ou piso, área interna ou externa, bivolt - potência 6 W</t>
  </si>
  <si>
    <t>41.31.070</t>
  </si>
  <si>
    <t>Luminária LED quadrada de sobrepor com difusor prismático translúcido, 4000 K, fluxo luminoso de 1363 a 1800 lm, potência de 15 W a 24 W</t>
  </si>
  <si>
    <t>43.02.080</t>
  </si>
  <si>
    <t>Chuveiro elétrico de 6.500W / 220V com resistência blindada</t>
  </si>
  <si>
    <t>43.07.070</t>
  </si>
  <si>
    <t>Ar condicionado a frio, tipo split piso teto com capacidade de 48.000 BTU/h</t>
  </si>
  <si>
    <t>43.07.300</t>
  </si>
  <si>
    <t>Ar condicionado a frio, tipo split cassete com capacidade de 18.000 BTU/h</t>
  </si>
  <si>
    <t>43.07.310</t>
  </si>
  <si>
    <t>Ar condicionado a frio, tipo split cassete com capacidade de 24.000 BTU/h</t>
  </si>
  <si>
    <t>Infraestrutura Interna</t>
  </si>
  <si>
    <t>cj</t>
  </si>
  <si>
    <t>Infraestrutura Externa</t>
  </si>
  <si>
    <t>40.02.040</t>
  </si>
  <si>
    <t>Caixa de passagem em chapa, com tampa parafusada, 150 x 150 x 80 mm</t>
  </si>
  <si>
    <t>39.21.020</t>
  </si>
  <si>
    <t>Cabo de cobre flexível de 2,5 mm², isolamento 0,6/1kV - isolação HEPR 90°C</t>
  </si>
  <si>
    <t>40.11.010</t>
  </si>
  <si>
    <t>Relé fotoelétrico 50/60 Hz, 110/220 V, 1200 VA, completo</t>
  </si>
  <si>
    <t>41.10.400</t>
  </si>
  <si>
    <t>Poste telecônico em aço SAE 1010/1020 galvanizado a fogo, com espera para uma luminária, altura de 3,00 m</t>
  </si>
  <si>
    <t>41.11.100</t>
  </si>
  <si>
    <t>Luminária retangular fechada para iluminação externa em poste, tipo pétala grande</t>
  </si>
  <si>
    <t>42.20.160</t>
  </si>
  <si>
    <t>Solda exotérmica conexão cabo-cabo horizontal em T, bitola do cabo de 50-50mm² a 95-50mm²</t>
  </si>
  <si>
    <t>SPDA</t>
  </si>
  <si>
    <t>42.05.120</t>
  </si>
  <si>
    <t>Conector de emenda em latão para cabo de até 50 mm² com 4 parafusos</t>
  </si>
  <si>
    <t>42.05.160</t>
  </si>
  <si>
    <t>Conector olhal cabo/haste de 5/8´</t>
  </si>
  <si>
    <t>42.05.200</t>
  </si>
  <si>
    <t>Haste de aterramento de 5/8" x 2,4 m</t>
  </si>
  <si>
    <t>42.05.290</t>
  </si>
  <si>
    <t>Suporte para fixação de terminal aéreo e/ou de cabo de cobre nu, com base plana</t>
  </si>
  <si>
    <t>42.05.310</t>
  </si>
  <si>
    <t>Caixa de inspeção do terra cilíndrica em PVC rígido, diâmetro de 300 mm - h= 250 mm</t>
  </si>
  <si>
    <t>42.20.090</t>
  </si>
  <si>
    <t>Solda exotérmica conexão cabo-cabo horizontal em X, bitola do cabo de 50-25mm² a 95-50mm²</t>
  </si>
  <si>
    <t>42.20.170</t>
  </si>
  <si>
    <t>Solda exotérmica conexão cabo-cabo horizontal reto, bitola do cabo de 16mm² a 70mm²</t>
  </si>
  <si>
    <t>42.20.190</t>
  </si>
  <si>
    <t>Solda exotérmica conexão cabo-haste em X sobreposto, bitola do cabo de 35mm² a 50mm² para haste de 5/8" e 3/4"</t>
  </si>
  <si>
    <t>42.20.230</t>
  </si>
  <si>
    <t>Solda exotérmica conexão cabo-haste na lateral, bitola do cabo de 25mm² a 70mm² para haste de 5/8" e 3/4"</t>
  </si>
  <si>
    <t>2.1.1</t>
  </si>
  <si>
    <t>2.1.2</t>
  </si>
  <si>
    <t>2.1.3</t>
  </si>
  <si>
    <t>2.1.4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</si>
  <si>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</si>
  <si>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</si>
  <si>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</si>
  <si>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</si>
  <si>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</si>
  <si>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</si>
  <si>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</si>
  <si>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</si>
  <si>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</si>
  <si>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</si>
  <si>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3.2.1</t>
  </si>
  <si>
    <t>3.2.2</t>
  </si>
  <si>
    <t>3.2.3</t>
  </si>
  <si>
    <t>3.2.4</t>
  </si>
  <si>
    <t>3.2.5</t>
  </si>
  <si>
    <t>3.3.1</t>
  </si>
  <si>
    <t>3.3.2</t>
  </si>
  <si>
    <t>3.3.3</t>
  </si>
  <si>
    <t>3.3.4</t>
  </si>
  <si>
    <t>3.3.5</t>
  </si>
  <si>
    <t>3.3.6</t>
  </si>
  <si>
    <t>3.3.7</t>
  </si>
  <si>
    <t>3.3.8</t>
  </si>
  <si>
    <t>3.3.9</t>
  </si>
  <si>
    <t>3.3.10</t>
  </si>
  <si>
    <t>3.3.11</t>
  </si>
  <si>
    <t>4.1.5</t>
  </si>
  <si>
    <t>4.1.6</t>
  </si>
  <si>
    <t>5.3</t>
  </si>
  <si>
    <t>5.4</t>
  </si>
  <si>
    <t>6.1.1</t>
  </si>
  <si>
    <t>6.1.2</t>
  </si>
  <si>
    <t>6.1.3</t>
  </si>
  <si>
    <t>6.1.4</t>
  </si>
  <si>
    <t>6.1.5</t>
  </si>
  <si>
    <t>6.1.6</t>
  </si>
  <si>
    <t>6.1.7</t>
  </si>
  <si>
    <t>6.1.8</t>
  </si>
  <si>
    <t>6.2.1</t>
  </si>
  <si>
    <t>6.2.2</t>
  </si>
  <si>
    <t>8.2.1</t>
  </si>
  <si>
    <t>8.2.2</t>
  </si>
  <si>
    <t>8.2.3</t>
  </si>
  <si>
    <t>8.2.4</t>
  </si>
  <si>
    <t>8.2.5</t>
  </si>
  <si>
    <t>8.2.6</t>
  </si>
  <si>
    <t>8.2.7</t>
  </si>
  <si>
    <t>8.2.8</t>
  </si>
  <si>
    <t>Retirada de folha de esquadria em madeira</t>
  </si>
  <si>
    <t>Limpeza e preparo de madeiramento</t>
  </si>
  <si>
    <t>Hidratação de madeira</t>
  </si>
  <si>
    <t>Remoção de pintura em superfícies de madeira com lixamento</t>
  </si>
  <si>
    <t>Restauração de esquadrias de madeira</t>
  </si>
  <si>
    <t>Verniz fungicida para madeira</t>
  </si>
  <si>
    <t>04.08.020</t>
  </si>
  <si>
    <t>COMP. 06</t>
  </si>
  <si>
    <t>COMP. 07</t>
  </si>
  <si>
    <t>03.10.100</t>
  </si>
  <si>
    <t>COMP. 08</t>
  </si>
  <si>
    <t>15.01.020</t>
  </si>
  <si>
    <t>33.05.010</t>
  </si>
  <si>
    <t>H.08.000.031701</t>
  </si>
  <si>
    <t>26.01.040</t>
  </si>
  <si>
    <t>26.20.010</t>
  </si>
  <si>
    <t>COMP.06</t>
  </si>
  <si>
    <t>B.01.000.010112</t>
  </si>
  <si>
    <t>Ajudante de Carpinteiro</t>
  </si>
  <si>
    <t>h x und</t>
  </si>
  <si>
    <t>B.01.000.010111</t>
  </si>
  <si>
    <t>Carpinteiro</t>
  </si>
  <si>
    <t>Ajudante de Pintor</t>
  </si>
  <si>
    <t>S.04.000.080135</t>
  </si>
  <si>
    <t>Máquinas e Equipamentos - Aspirador de pó</t>
  </si>
  <si>
    <t>COMP.07</t>
  </si>
  <si>
    <t>J.02.000.024047</t>
  </si>
  <si>
    <t>Óleo de linhaça</t>
  </si>
  <si>
    <t>COMP.08</t>
  </si>
  <si>
    <t>B.09.000.039076</t>
  </si>
  <si>
    <t>E.02.000.026760</t>
  </si>
  <si>
    <t>D.02.000.021005</t>
  </si>
  <si>
    <t>Ajudante de carpinteiro</t>
  </si>
  <si>
    <t>Cola branca específica para piso, tacos madeira</t>
  </si>
  <si>
    <t>Prego diversas bitolas (referência 18 x 27)</t>
  </si>
  <si>
    <t>Madeira serrada em cambará, cedrinho, cumaru, eucalipto-citriodora, eucalipto-saligna, garapa,
pinus-elioti, tuari, (viga de 6 x 12cm</t>
  </si>
  <si>
    <t>Dobradiça de aço cromado de 3 1/2", para portas de até 21 kg, ref. União Mundial ou equivalente -
(embalagem com 3 dobradiças)</t>
  </si>
  <si>
    <t>Madeira para as próteses e batentes</t>
  </si>
  <si>
    <t>Guarnição de madeira</t>
  </si>
  <si>
    <t>23.20.120</t>
  </si>
  <si>
    <t>Ferragem completa com maçaneta tipo alavanca, para porta interna com 1 folha</t>
  </si>
  <si>
    <t>28.01.040</t>
  </si>
  <si>
    <t>Porta lisa de madeira, interna, resistente a umidade "PIM RU", para acabamento em pintura, padrão dimensional médio/pesado, com ferragens, completo - 80 x 210 cm</t>
  </si>
  <si>
    <t>23.13.020</t>
  </si>
  <si>
    <t>8.1.1</t>
  </si>
  <si>
    <t>8.1.2</t>
  </si>
  <si>
    <t>8.1.3</t>
  </si>
  <si>
    <t>8.1.4</t>
  </si>
  <si>
    <t>8.1.5</t>
  </si>
  <si>
    <t>8.1.6</t>
  </si>
  <si>
    <t>8.1.7</t>
  </si>
  <si>
    <t>8.1.8</t>
  </si>
  <si>
    <t>8.1.9</t>
  </si>
  <si>
    <t>8.1.10</t>
  </si>
  <si>
    <t>Reintalação das esquadrias com restauração da abertura de correr (trilhos)</t>
  </si>
  <si>
    <t>Reposição de vidro liso, incolor, 4mm</t>
  </si>
  <si>
    <t>04.09.020</t>
  </si>
  <si>
    <t>Preparo de base para superfície metálica com fundo antioxidante</t>
  </si>
  <si>
    <t>33.01.350</t>
  </si>
  <si>
    <t>24.20.020</t>
  </si>
  <si>
    <t>24.01.010</t>
  </si>
  <si>
    <t>03.08.200</t>
  </si>
  <si>
    <t>Massa para vidro</t>
  </si>
  <si>
    <t>44.01.100</t>
  </si>
  <si>
    <t>44.01.072</t>
  </si>
  <si>
    <t>44.01.360</t>
  </si>
  <si>
    <t>9.4</t>
  </si>
  <si>
    <t>9.5</t>
  </si>
  <si>
    <t>9.6</t>
  </si>
  <si>
    <t>9.7</t>
  </si>
  <si>
    <t>9.8</t>
  </si>
  <si>
    <t>Alvenarias Internas (novas)</t>
  </si>
  <si>
    <t>Alvenaria com bloco de concreto</t>
  </si>
  <si>
    <t>Tinta acrílica antimofo</t>
  </si>
  <si>
    <t>14.10.121</t>
  </si>
  <si>
    <t>Emboço desempenado com argamassa industrializada</t>
  </si>
  <si>
    <t>17.02.160</t>
  </si>
  <si>
    <t>17.02.020</t>
  </si>
  <si>
    <t>Reboco</t>
  </si>
  <si>
    <t>Chapisco 1:4 com areia grossa</t>
  </si>
  <si>
    <t>17.02.030</t>
  </si>
  <si>
    <t>Água Fria</t>
  </si>
  <si>
    <t xml:space="preserve">Tubulação de água pluvial, 100mm diâmetro </t>
  </si>
  <si>
    <t xml:space="preserve">Tubulação de água pluvial, 200mm diâmetro </t>
  </si>
  <si>
    <t xml:space="preserve">Tubulação de água fria potável, 25mm diâmetro </t>
  </si>
  <si>
    <t xml:space="preserve">Tubulação de água fria potável, 32mm diâmetro </t>
  </si>
  <si>
    <t xml:space="preserve">Tubulação de água fria potável, 60mm diâmetro </t>
  </si>
  <si>
    <t xml:space="preserve">Tubulação de água fria potável, 75mm diâmetro </t>
  </si>
  <si>
    <t xml:space="preserve">Tubulação de água fria potável, 40mm diâmetro </t>
  </si>
  <si>
    <t xml:space="preserve">Tubulação de água fria potável, 50mm diâmetro </t>
  </si>
  <si>
    <t>Torneira de Jardim</t>
  </si>
  <si>
    <t>Abrigo do Medidor de Água</t>
  </si>
  <si>
    <t xml:space="preserve">Pressurizador </t>
  </si>
  <si>
    <t>Registro para controle de irrigação</t>
  </si>
  <si>
    <t>Caixa d'água</t>
  </si>
  <si>
    <t>Registro de gaveta + 2 adaptadores PVC</t>
  </si>
  <si>
    <t xml:space="preserve">Torneira boia </t>
  </si>
  <si>
    <t xml:space="preserve">Tubulação de água pluvial, 150mm diâmetro </t>
  </si>
  <si>
    <t>Tubulação de gás</t>
  </si>
  <si>
    <t>Registro de pressão</t>
  </si>
  <si>
    <t>Torneira de lavagem + cotovelo SRM</t>
  </si>
  <si>
    <t>Chuveiro + cotovelo 90° SRM + grampo de ancoragem + luva SRM + adaptador PVC</t>
  </si>
  <si>
    <t>Tubo asperssor, 32mm diâmetro</t>
  </si>
  <si>
    <t>Calha</t>
  </si>
  <si>
    <t>Ralo linear</t>
  </si>
  <si>
    <t>Esgoto</t>
  </si>
  <si>
    <t>Canaleta com grelha</t>
  </si>
  <si>
    <t>Tubulação de esgoto, 40mm diâmetro</t>
  </si>
  <si>
    <t>Tubulação de esgoto, 50mm diâmetro</t>
  </si>
  <si>
    <t>Tubulação de esgoto, 75mm diâmetro</t>
  </si>
  <si>
    <t>Tubulação de esgoto, 100mm diâmetro</t>
  </si>
  <si>
    <t>Tubulação de esgoto, 150mm diâmetro</t>
  </si>
  <si>
    <t>Ralo sifonado</t>
  </si>
  <si>
    <t>Ralo seco quadrado</t>
  </si>
  <si>
    <t>Caixa de gordura</t>
  </si>
  <si>
    <t>Ralo com grelha hemisférica</t>
  </si>
  <si>
    <t>Ralo linear 1m</t>
  </si>
  <si>
    <t>Extintor de água pressurizada (2A)</t>
  </si>
  <si>
    <t xml:space="preserve">Sinalização de orientação e salvamento </t>
  </si>
  <si>
    <t>Sinalização fotoluminescente extintor</t>
  </si>
  <si>
    <t>Iluminação de emergência</t>
  </si>
  <si>
    <t>Incêndio</t>
  </si>
  <si>
    <t>Desmobilização</t>
  </si>
  <si>
    <t>Limpeza final da obra</t>
  </si>
  <si>
    <t>55.01.020</t>
  </si>
  <si>
    <t>Restauro Mezanino</t>
  </si>
  <si>
    <t>Fornecimento de peças diversas para estrutura em madeira</t>
  </si>
  <si>
    <t>15.20.020</t>
  </si>
  <si>
    <t>20.03.010</t>
  </si>
  <si>
    <t>QUANTITATIVOS ESQUADRIAS CFC</t>
  </si>
  <si>
    <t xml:space="preserve">PORTAS DE MADEIRA </t>
  </si>
  <si>
    <t xml:space="preserve">CÓD </t>
  </si>
  <si>
    <t>DIMENSÃO</t>
  </si>
  <si>
    <t>TOTAL</t>
  </si>
  <si>
    <t>MADEIRA</t>
  </si>
  <si>
    <t xml:space="preserve">VIDRO </t>
  </si>
  <si>
    <t>PMA01</t>
  </si>
  <si>
    <t>PMA02</t>
  </si>
  <si>
    <t>PMA03</t>
  </si>
  <si>
    <t>PMA04</t>
  </si>
  <si>
    <t>PMA05</t>
  </si>
  <si>
    <t>PMA06</t>
  </si>
  <si>
    <t>PMA07</t>
  </si>
  <si>
    <t>PMA08</t>
  </si>
  <si>
    <t>PMA09</t>
  </si>
  <si>
    <t>PMA10</t>
  </si>
  <si>
    <t>PMA11</t>
  </si>
  <si>
    <t>PMA12</t>
  </si>
  <si>
    <t>PMA13</t>
  </si>
  <si>
    <t>PMA14</t>
  </si>
  <si>
    <t>PMA15</t>
  </si>
  <si>
    <t>PMA16</t>
  </si>
  <si>
    <t>PMA17</t>
  </si>
  <si>
    <t>JANELAS METÁLICAS</t>
  </si>
  <si>
    <t>METAL</t>
  </si>
  <si>
    <t>JME01</t>
  </si>
  <si>
    <t>JME02</t>
  </si>
  <si>
    <t>JME03</t>
  </si>
  <si>
    <t>JME04</t>
  </si>
  <si>
    <t>JME05</t>
  </si>
  <si>
    <t>JME06</t>
  </si>
  <si>
    <t>JME07</t>
  </si>
  <si>
    <t>JME08</t>
  </si>
  <si>
    <t>JME09</t>
  </si>
  <si>
    <t>JME10</t>
  </si>
  <si>
    <t>PORTAS METÁLICAS</t>
  </si>
  <si>
    <t>PME01</t>
  </si>
  <si>
    <t>PME02</t>
  </si>
  <si>
    <t>PME03</t>
  </si>
  <si>
    <t>PME04</t>
  </si>
  <si>
    <t>PME05</t>
  </si>
  <si>
    <t>PME06</t>
  </si>
  <si>
    <t>PME07</t>
  </si>
  <si>
    <t>PME08</t>
  </si>
  <si>
    <t>PME09</t>
  </si>
  <si>
    <t>PME10</t>
  </si>
  <si>
    <t>PME11</t>
  </si>
  <si>
    <t>PME12</t>
  </si>
  <si>
    <t>PME13</t>
  </si>
  <si>
    <t>PME14</t>
  </si>
  <si>
    <t>PME15</t>
  </si>
  <si>
    <t>PME16</t>
  </si>
  <si>
    <t>PME17</t>
  </si>
  <si>
    <t>PME18</t>
  </si>
  <si>
    <t>PME19</t>
  </si>
  <si>
    <t>PME20</t>
  </si>
  <si>
    <t>PME21</t>
  </si>
  <si>
    <t>QUANTITATIVOS  CFC</t>
  </si>
  <si>
    <t>COBERTURA</t>
  </si>
  <si>
    <t>TELHAS CERÂMICAS "COLONIAL"</t>
  </si>
  <si>
    <t>TC00</t>
  </si>
  <si>
    <t>TC01</t>
  </si>
  <si>
    <t>TB01</t>
  </si>
  <si>
    <t>TB02</t>
  </si>
  <si>
    <t>TA01</t>
  </si>
  <si>
    <t>TA02</t>
  </si>
  <si>
    <t>TELHA AMIANTO</t>
  </si>
  <si>
    <t>TM01</t>
  </si>
  <si>
    <t xml:space="preserve">LAJE </t>
  </si>
  <si>
    <t>L01</t>
  </si>
  <si>
    <t>L02</t>
  </si>
  <si>
    <t>L03</t>
  </si>
  <si>
    <t>L04</t>
  </si>
  <si>
    <t>CALHA TELHAMENTO</t>
  </si>
  <si>
    <t>R01</t>
  </si>
  <si>
    <t>R02</t>
  </si>
  <si>
    <t>R03</t>
  </si>
  <si>
    <t>R04</t>
  </si>
  <si>
    <t>R05</t>
  </si>
  <si>
    <t>R06</t>
  </si>
  <si>
    <t xml:space="preserve">ALVENARIAS </t>
  </si>
  <si>
    <t>EXTERNAS SEM REVESTIMENTO</t>
  </si>
  <si>
    <t>ALV01</t>
  </si>
  <si>
    <t>ALV02</t>
  </si>
  <si>
    <t>ALV03</t>
  </si>
  <si>
    <t xml:space="preserve">EXTERNAS DE CONCRETO </t>
  </si>
  <si>
    <t>ALVC01</t>
  </si>
  <si>
    <t>EXTERNAS COM REVESTIMENTO</t>
  </si>
  <si>
    <t>ALVR01</t>
  </si>
  <si>
    <t>ALVR02</t>
  </si>
  <si>
    <t>INTERNAS BLOCO FRONTAL</t>
  </si>
  <si>
    <t xml:space="preserve">ACABAMENTOS </t>
  </si>
  <si>
    <t xml:space="preserve">FORRO </t>
  </si>
  <si>
    <t>Forro de gesso vermelho</t>
  </si>
  <si>
    <t>Chapa de alumínio</t>
  </si>
  <si>
    <t>Pintura policromada sobre concreto-armado</t>
  </si>
  <si>
    <t>Forro de gesso</t>
  </si>
  <si>
    <t>Forro de gesso (novo)</t>
  </si>
  <si>
    <t>PAREDES</t>
  </si>
  <si>
    <t>Pintura mineral</t>
  </si>
  <si>
    <t>Revestimento cerâmico 15x15 preto</t>
  </si>
  <si>
    <t>PISO</t>
  </si>
  <si>
    <t>Lajota cerâmica 24,4x20,2 laranja</t>
  </si>
  <si>
    <t>1N</t>
  </si>
  <si>
    <t>Lajota cerâmica 24,4x20,2 laranja (novo)</t>
  </si>
  <si>
    <t>Piso cerâmico 9,6x9,3 preto</t>
  </si>
  <si>
    <t>2N</t>
  </si>
  <si>
    <t>Piso cerâmico 9,6x9,3 preto (novo)</t>
  </si>
  <si>
    <t>Taco de madeira 14,2x7,1 - paginação Dama</t>
  </si>
  <si>
    <t>Pedra tipo mineira</t>
  </si>
  <si>
    <t>Piso cerâmico 39,6x24,8 vermelho</t>
  </si>
  <si>
    <t>Lajota cerâmica 9,8x9,8 laranja</t>
  </si>
  <si>
    <t>Tabeira cerâmica</t>
  </si>
  <si>
    <t>Piso cerâmico retangular 14,8x7,6 laranja</t>
  </si>
  <si>
    <t>Indusparquet multistrato cumaru 195x1200mm</t>
  </si>
  <si>
    <t>Intertravado 10x20x6</t>
  </si>
  <si>
    <t>Concreto levigado drenante 40x40</t>
  </si>
  <si>
    <t>Deck madeira plástica</t>
  </si>
  <si>
    <t>Recolocação de mármore, pedras e granitos, assentes com massa</t>
  </si>
  <si>
    <t>19.20.020</t>
  </si>
  <si>
    <t>Revestimento em placa cerâmica esmaltada, tipo monoporosa, assentado e rejuntado com argamassa industrializada</t>
  </si>
  <si>
    <t>18.11.052</t>
  </si>
  <si>
    <t>CÓDIGO</t>
  </si>
  <si>
    <t>AMBIENTE</t>
  </si>
  <si>
    <t>QUANT.</t>
  </si>
  <si>
    <t>MARCA</t>
  </si>
  <si>
    <t>MODELO</t>
  </si>
  <si>
    <t>COR / MATERIAL</t>
  </si>
  <si>
    <t>LINK</t>
  </si>
  <si>
    <t>PREÇO UNIT.</t>
  </si>
  <si>
    <t>MO01</t>
  </si>
  <si>
    <t>SALÃO PRINCIPAL, VARANDA LESTE</t>
  </si>
  <si>
    <t>MESA REDONDA 4 LUGARES 90CM DIÂM.</t>
  </si>
  <si>
    <t>SAARINEN DESIGN</t>
  </si>
  <si>
    <t>BASE PARA TAMPO ATÉ 90CM</t>
  </si>
  <si>
    <t>PRETO</t>
  </si>
  <si>
    <t>https://saarinen.com.br/produto/base-saarinen-redonda/</t>
  </si>
  <si>
    <t>FORNECEDOR PEDRA</t>
  </si>
  <si>
    <t>TAMPO GRANITO PITAYA 90CM DIÂM.</t>
  </si>
  <si>
    <t>GRANITO PITAYA</t>
  </si>
  <si>
    <t>estimativa baseada no valor m2 granito</t>
  </si>
  <si>
    <t>MO02</t>
  </si>
  <si>
    <t>MESA REDONDA 6 LUGARES 135CM DIÂM.</t>
  </si>
  <si>
    <t>BASE PARA TAMPO ATÉ 137CM</t>
  </si>
  <si>
    <t>TAMPO GRANITO PITAYA 135CM DIÂM.</t>
  </si>
  <si>
    <t>MO03</t>
  </si>
  <si>
    <t>SALÃO PRINCIPAL</t>
  </si>
  <si>
    <t>MESA QUADRADA 4 LUGARES 80X80CM</t>
  </si>
  <si>
    <t>BASE PARA TAMPO ATÉ 80CM</t>
  </si>
  <si>
    <t>TAMPO GRANITO PITAYA 80X80CM</t>
  </si>
  <si>
    <t>MO04</t>
  </si>
  <si>
    <t>MESA REDONDA BAIXA 60CM DIÂM.</t>
  </si>
  <si>
    <t>FRANCCINO</t>
  </si>
  <si>
    <t>MESA DE CENTRO GEO</t>
  </si>
  <si>
    <t>https://franccino.com.br/produto/mesa-de-centro-geo/</t>
  </si>
  <si>
    <t>MO05</t>
  </si>
  <si>
    <t>MESA ELIPSE BAIXA 140X100CM</t>
  </si>
  <si>
    <t>SACCARO</t>
  </si>
  <si>
    <t>PRETO E MADEIRA</t>
  </si>
  <si>
    <t>https://saccaro.com.br/products/mesa_centro_mandala</t>
  </si>
  <si>
    <t>MO06</t>
  </si>
  <si>
    <t>SALÃO PRINCIPAL, VARANDA LESTE, COPA</t>
  </si>
  <si>
    <t>CADEIRA TIPO A</t>
  </si>
  <si>
    <t>CLAMI</t>
  </si>
  <si>
    <t>CADEIRA ALE</t>
  </si>
  <si>
    <t>MARROM</t>
  </si>
  <si>
    <t>https://clami.com.br/produto/cadeira-ale</t>
  </si>
  <si>
    <t>MO07</t>
  </si>
  <si>
    <t>CADEIRA TIPO B</t>
  </si>
  <si>
    <t>CADEIRA RIO</t>
  </si>
  <si>
    <t>https://franccino.com.br/produto/cadeira-rio/</t>
  </si>
  <si>
    <t>MO08</t>
  </si>
  <si>
    <t>CADEIRA TIPO C</t>
  </si>
  <si>
    <t>MOVECA</t>
  </si>
  <si>
    <t>CADEIRA SESSY</t>
  </si>
  <si>
    <t>PRETO/SUEDE</t>
  </si>
  <si>
    <t>https://moveca.com.br/products/cadeira-sessy</t>
  </si>
  <si>
    <t>MO09</t>
  </si>
  <si>
    <t>POLTRONA TIPO A</t>
  </si>
  <si>
    <t>BRETON</t>
  </si>
  <si>
    <t>POLTRONA TRÓPICO</t>
  </si>
  <si>
    <t>https://www.breton.com.br/poltrona-tropico-breton/p</t>
  </si>
  <si>
    <t>MO10</t>
  </si>
  <si>
    <t>POLTRONA TIPO B</t>
  </si>
  <si>
    <t>POLTRONA ALTIVA</t>
  </si>
  <si>
    <t>https://franccino.com.br/produto/poltrona-altiva/</t>
  </si>
  <si>
    <t>MO11</t>
  </si>
  <si>
    <t>SALÃO PRINCIPAL, VARANDA LESTE, RECEPÇÃO/ESPERA, SALA REUNIÃO</t>
  </si>
  <si>
    <t>POLTRONA TIPO C</t>
  </si>
  <si>
    <t>POLTORNA ETTRO</t>
  </si>
  <si>
    <t>TIJOLO</t>
  </si>
  <si>
    <t>https://clami.com.br/produto/ettro</t>
  </si>
  <si>
    <t>MO12</t>
  </si>
  <si>
    <t>SOFÁ 3 LUGARES 200X80CM - OPÇÃO 1</t>
  </si>
  <si>
    <t>SOFÁ BISTRÔ 3 LUGARES</t>
  </si>
  <si>
    <t>VERDE</t>
  </si>
  <si>
    <t>https://saccaro.com.br/products/sofa_bistro</t>
  </si>
  <si>
    <t>SOFÁ 3 LUGARES 200X80CM - OPÇÃO 2</t>
  </si>
  <si>
    <t>MENU CASA</t>
  </si>
  <si>
    <t>SOFÁ TANGERINA 3 LUGARES</t>
  </si>
  <si>
    <t>BUBBLE VERDE</t>
  </si>
  <si>
    <t>https://menu.casa/produtos/sofa-tangerina/</t>
  </si>
  <si>
    <t>MO13</t>
  </si>
  <si>
    <t>MÓDULO DE PALCO DESMONTÁVEL 1X1M</t>
  </si>
  <si>
    <t>AURATEC</t>
  </si>
  <si>
    <t>PALCO PRATICÁVEL 1X1M 40-60CM PÉS TELESCÓPICOS</t>
  </si>
  <si>
    <t>https://loja.auratec.com.br/produtos/palco-praticavel-1-x-1m-pes-40-60cm-telescopicos/</t>
  </si>
  <si>
    <t>MO16</t>
  </si>
  <si>
    <t>LIMPEZA</t>
  </si>
  <si>
    <t>PRATELEIRAS 1,20X0,40M</t>
  </si>
  <si>
    <t>LEROY MERLIN</t>
  </si>
  <si>
    <t>PRATELEIRA DE MADEIRA MDP 1,20X40CM LUCIANE</t>
  </si>
  <si>
    <t>BRANCO</t>
  </si>
  <si>
    <t xml:space="preserve">https://www.leroymerlin.com.br/prateleira-de-madeira-mdp-branca-120x40cm-luciane_89457732?referrer=category-page </t>
  </si>
  <si>
    <t>MO17</t>
  </si>
  <si>
    <t>COZINHA</t>
  </si>
  <si>
    <t>FOGÃO INDUSTRIAL 4 BOCAS</t>
  </si>
  <si>
    <t>VENAX</t>
  </si>
  <si>
    <t>FOGÃO INDUSTRIAL FFI 430 GÁS GLP</t>
  </si>
  <si>
    <t>https://venax.com.br/categoria-produto/linha-industrial/fogoes-industriais/fogao-ind-4-bocas/industrial-4-q-com-forno/fogao-a-gas-industrial-ffi-430/fogao-industrial-ffi-430-gas-glp/</t>
  </si>
  <si>
    <t>MO18</t>
  </si>
  <si>
    <t>GELADEIRA INDUSTRIAL 2 PORTAS</t>
  </si>
  <si>
    <t>GELOPAR</t>
  </si>
  <si>
    <t>GREP-4P AI</t>
  </si>
  <si>
    <t>INOX</t>
  </si>
  <si>
    <t>https://loja.gelopar.com.br/produto/80237.01.2/grep-4p-ai</t>
  </si>
  <si>
    <t>MO24</t>
  </si>
  <si>
    <t>CAMARIM, RECEPÇÃO/ESPERA, ADMINISTRATIVO/ARMAZENAMENTO, COWORKING 12 POSTOS, COWORKING 6 POSTOS, ZELADORIA</t>
  </si>
  <si>
    <t>MESA 1,20M X 0,60M</t>
  </si>
  <si>
    <t>RICCO</t>
  </si>
  <si>
    <t>MESA CAVALETE 1,20X0,60M</t>
  </si>
  <si>
    <t>ESTRUTURA PRETA, TAMPO MELAMÍNICO CARVALHO PRATA</t>
  </si>
  <si>
    <t>https://ricco.com.br/produto/mesa-h-o-cavalete</t>
  </si>
  <si>
    <t>MO25</t>
  </si>
  <si>
    <t>CADEIRA</t>
  </si>
  <si>
    <t>FLEXFORM</t>
  </si>
  <si>
    <t>CADEIRA VALENTINA</t>
  </si>
  <si>
    <t>CINZA</t>
  </si>
  <si>
    <t>https://www.flexform.com.br/cadeiras/cadeiras-fixas-cadeira-valentina-grey</t>
  </si>
  <si>
    <t>MO27</t>
  </si>
  <si>
    <t>SALA REUNIÃO</t>
  </si>
  <si>
    <t>MESA REUNIÃO 10 LUGARES</t>
  </si>
  <si>
    <t>MESA REUNIÃO GAMA 4,00X1,10M</t>
  </si>
  <si>
    <t>CINZA ORIGINAL</t>
  </si>
  <si>
    <t>https://ricco.com.br/produto/mesa-de-reuniao-gama</t>
  </si>
  <si>
    <t>MO28</t>
  </si>
  <si>
    <t>COWORKING 12 POSTOS, COWORKING 6 POSTOS</t>
  </si>
  <si>
    <t>BUFFET 0,60M</t>
  </si>
  <si>
    <t>TOK STOK</t>
  </si>
  <si>
    <t>ARMÁRIO BAIXO 2 PORTAS FIND</t>
  </si>
  <si>
    <t>https://www.tokstok.com.br/armario-baixo-2-portas-branco-find/p</t>
  </si>
  <si>
    <t>MO31</t>
  </si>
  <si>
    <t>COPA</t>
  </si>
  <si>
    <t>MESA REDONDA 4 LUGARES 120CM DIÂM.</t>
  </si>
  <si>
    <t>BASE PARA TAMPO ATÉ 1,24M</t>
  </si>
  <si>
    <t>MO32</t>
  </si>
  <si>
    <t>BANQUETA MÉDIO H=65CM</t>
  </si>
  <si>
    <t>TOKSTOK</t>
  </si>
  <si>
    <t>BANCO MÉDIO FABRIC</t>
  </si>
  <si>
    <t>https://www.tokstok.com.br/banco-medio-preto-eucalipto-fabric/p</t>
  </si>
  <si>
    <t>MO33</t>
  </si>
  <si>
    <t>GELADEIRA</t>
  </si>
  <si>
    <t>BRASTEMP</t>
  </si>
  <si>
    <t>GELADEIRA BRASTEMP FROST FREE DUPLEX 375 BRM44HB</t>
  </si>
  <si>
    <t>https://www.brastemp.com.br/geladeira-brastemp-frost-free-375-litros-brm44hb/p</t>
  </si>
  <si>
    <t>MO34</t>
  </si>
  <si>
    <t>MICROONDAS 20L</t>
  </si>
  <si>
    <t>MICRO-ONDAS BRASTEMP 20 LITROS BMS20AR</t>
  </si>
  <si>
    <t>https://www.brastemp.com.br/micro-ondas-brastemp-20-litros-cor-inox-espelhado-com-funcoes-pre-preparo-bms20ar/p</t>
  </si>
  <si>
    <t>39.04.070</t>
  </si>
  <si>
    <t>Cabo de cobre nu, têmpera mole, classe 2, de 35 mm²</t>
  </si>
  <si>
    <t>39.04.080</t>
  </si>
  <si>
    <t>Cabo de cobre nu, têmpera mole, classe 2, de 50 mm²</t>
  </si>
  <si>
    <t>39.09.040</t>
  </si>
  <si>
    <t>Conector split-bolt para cabo de 35 mm², latão, simples</t>
  </si>
  <si>
    <t>39.10.160</t>
  </si>
  <si>
    <t>Terminal de pressão/compressão para cabo de 50 mm²</t>
  </si>
  <si>
    <t>42.01.098</t>
  </si>
  <si>
    <t>Captor tipo terminal aéreo, h= 600 mm, diâmetro de 3/8´ galvanizado a fogo</t>
  </si>
  <si>
    <t>42.02.100</t>
  </si>
  <si>
    <t>Isolador galvanizado uso geral, reforçado com calha para telha ondulada</t>
  </si>
  <si>
    <t>42.05.580</t>
  </si>
  <si>
    <t>Terminal estanhado com 1 furo e 1 compressão - 35 mm²</t>
  </si>
  <si>
    <t>42.05.100</t>
  </si>
  <si>
    <t>Caixa de inspeção suspensa</t>
  </si>
  <si>
    <t>42.05.270</t>
  </si>
  <si>
    <t>Conector em latão estanhado para cabos de 16 a 50 mm² e vergalhões até 3/8´</t>
  </si>
  <si>
    <t>46.03.050</t>
  </si>
  <si>
    <t>46.04.070</t>
  </si>
  <si>
    <t>46.01.020</t>
  </si>
  <si>
    <t>46.01.030</t>
  </si>
  <si>
    <t>46.01.060</t>
  </si>
  <si>
    <t>46.01.070</t>
  </si>
  <si>
    <t>46.01.040</t>
  </si>
  <si>
    <t>46.01.050</t>
  </si>
  <si>
    <t>44.03.630</t>
  </si>
  <si>
    <t>45.01.060</t>
  </si>
  <si>
    <t>47.14.020</t>
  </si>
  <si>
    <t>48.02.400</t>
  </si>
  <si>
    <t>47.01.030</t>
  </si>
  <si>
    <t>48.05.010</t>
  </si>
  <si>
    <t>46.03.060</t>
  </si>
  <si>
    <t>46.27.050</t>
  </si>
  <si>
    <t>44.03.640</t>
  </si>
  <si>
    <t>Lavatório com coluna</t>
  </si>
  <si>
    <t>44.20.110</t>
  </si>
  <si>
    <t>engate flexível</t>
  </si>
  <si>
    <t>43.02.140</t>
  </si>
  <si>
    <t>30.08.060</t>
  </si>
  <si>
    <t>Bacia Sanitária</t>
  </si>
  <si>
    <t>44.01.850</t>
  </si>
  <si>
    <t>Pia</t>
  </si>
  <si>
    <t>Tanque</t>
  </si>
  <si>
    <t>Bacia sanitária</t>
  </si>
  <si>
    <t>47.04.030</t>
  </si>
  <si>
    <t>Válvula de Descarga</t>
  </si>
  <si>
    <t>44.06.100</t>
  </si>
  <si>
    <t>Mictório</t>
  </si>
  <si>
    <t>47.04.100</t>
  </si>
  <si>
    <t>válvula mictório pressmatic</t>
  </si>
  <si>
    <t>44.01.050</t>
  </si>
  <si>
    <t>Bidê</t>
  </si>
  <si>
    <t>49.05.020</t>
  </si>
  <si>
    <t>49.11.140</t>
  </si>
  <si>
    <t>46.03.080</t>
  </si>
  <si>
    <t>46.03.038</t>
  </si>
  <si>
    <t>46.03.040</t>
  </si>
  <si>
    <t>49.05.040</t>
  </si>
  <si>
    <t>49.04.010</t>
  </si>
  <si>
    <t>49.03.036</t>
  </si>
  <si>
    <t>50.10.100</t>
  </si>
  <si>
    <t>97.02.196</t>
  </si>
  <si>
    <t>50.05.312</t>
  </si>
  <si>
    <t xml:space="preserve">Tinta mineral c/ fundo preparador </t>
  </si>
  <si>
    <t>Total Execução</t>
  </si>
  <si>
    <t>Item</t>
  </si>
  <si>
    <t>Descrição</t>
  </si>
  <si>
    <t>Alvenarias Externas</t>
  </si>
  <si>
    <t>Alvenarias novas</t>
  </si>
  <si>
    <t>41.31.080</t>
  </si>
  <si>
    <t>Luminária LED redonda de embutir com difusor translúcido, 4000 K, fluxo luminoso de 800 a 1060 lm, potência de 9 W a 12 W</t>
  </si>
  <si>
    <t>41.31.101</t>
  </si>
  <si>
    <t>Projetor LED retangular, potência de 30 W, fluxo luminoso de 2250 a 2400 lm, temperatura cor 6.500 K, bivolt</t>
  </si>
  <si>
    <t>43.05.030</t>
  </si>
  <si>
    <t>Exaustor elétrico em plástico, vazão de 150 a 190m³/h</t>
  </si>
  <si>
    <t>43.05.100</t>
  </si>
  <si>
    <t>Insuflador de ar compacto, para renovação de ar em ambientes, vazão máxima 93 m³/h</t>
  </si>
  <si>
    <t>Caixa de inspenção de águas pluviais</t>
  </si>
  <si>
    <t>SIURB</t>
  </si>
  <si>
    <t>16.08.028</t>
  </si>
  <si>
    <t>Caixa de inspeção de esgoto</t>
  </si>
  <si>
    <t>FDE</t>
  </si>
  <si>
    <t>COMP. 01B</t>
  </si>
  <si>
    <t>5.1.1</t>
  </si>
  <si>
    <t>5.1.2</t>
  </si>
  <si>
    <t>5.1.3</t>
  </si>
  <si>
    <t>5.1.4</t>
  </si>
  <si>
    <t>5.1.5</t>
  </si>
  <si>
    <t>5.1.6</t>
  </si>
  <si>
    <t>5.1.7</t>
  </si>
  <si>
    <t>5.1.8</t>
  </si>
  <si>
    <t>5.2.1</t>
  </si>
  <si>
    <t>5.2.2</t>
  </si>
  <si>
    <t>5.3.1</t>
  </si>
  <si>
    <t>5.3.2</t>
  </si>
  <si>
    <t>5.3.3</t>
  </si>
  <si>
    <t>5.4.1</t>
  </si>
  <si>
    <t>5.4.2</t>
  </si>
  <si>
    <t>5.4.3</t>
  </si>
  <si>
    <t>6.1.9</t>
  </si>
  <si>
    <t>6.1.10</t>
  </si>
  <si>
    <t>6.1.11</t>
  </si>
  <si>
    <t>6.1.12</t>
  </si>
  <si>
    <t>6.2.3</t>
  </si>
  <si>
    <t>6.2.4</t>
  </si>
  <si>
    <t>6.2.5</t>
  </si>
  <si>
    <t>6.2.6</t>
  </si>
  <si>
    <t>6.2.7</t>
  </si>
  <si>
    <t>6.2.8</t>
  </si>
  <si>
    <t>7.3</t>
  </si>
  <si>
    <t>7.4</t>
  </si>
  <si>
    <t>7.5</t>
  </si>
  <si>
    <t>8.2.9</t>
  </si>
  <si>
    <t>8.2.10</t>
  </si>
  <si>
    <t>8.2.11</t>
  </si>
  <si>
    <t>8.2.12</t>
  </si>
  <si>
    <t>8.2.13</t>
  </si>
  <si>
    <t>8.2.14</t>
  </si>
  <si>
    <t>8.2.15</t>
  </si>
  <si>
    <t>8.2.16</t>
  </si>
  <si>
    <t>8.2.17</t>
  </si>
  <si>
    <t>8.2.18</t>
  </si>
  <si>
    <t>8.2.19</t>
  </si>
  <si>
    <t>8.2.20</t>
  </si>
  <si>
    <t>8.2.21</t>
  </si>
  <si>
    <t>8.2.22</t>
  </si>
  <si>
    <t>8.2.23</t>
  </si>
  <si>
    <t>8.2.24</t>
  </si>
  <si>
    <t>8.2.25</t>
  </si>
  <si>
    <t>8.2.26</t>
  </si>
  <si>
    <t>8.2.27</t>
  </si>
  <si>
    <t>8.2.28</t>
  </si>
  <si>
    <t>8.2.29</t>
  </si>
  <si>
    <t>8.2.30</t>
  </si>
  <si>
    <t>8.2.31</t>
  </si>
  <si>
    <t>8.2.32</t>
  </si>
  <si>
    <t>8.2.33</t>
  </si>
  <si>
    <t>8.2.34</t>
  </si>
  <si>
    <t>8.2.35</t>
  </si>
  <si>
    <t>8.2.36</t>
  </si>
  <si>
    <t>8.2.37</t>
  </si>
  <si>
    <t>8.2.38</t>
  </si>
  <si>
    <t>8.2.39</t>
  </si>
  <si>
    <t>8.2.40</t>
  </si>
  <si>
    <t>8.2.41</t>
  </si>
  <si>
    <t>8.2.42</t>
  </si>
  <si>
    <t>8.2.43</t>
  </si>
  <si>
    <t>8.2.44</t>
  </si>
  <si>
    <t>8.2.45</t>
  </si>
  <si>
    <t>8.2.46</t>
  </si>
  <si>
    <t>8.2.47</t>
  </si>
  <si>
    <t>8.2.48</t>
  </si>
  <si>
    <t>8.2.49</t>
  </si>
  <si>
    <t>8.2.50</t>
  </si>
  <si>
    <t>8.2.51</t>
  </si>
  <si>
    <t>8.2.52</t>
  </si>
  <si>
    <t>8.2.53</t>
  </si>
  <si>
    <t>8.2.54</t>
  </si>
  <si>
    <t>8.2.55</t>
  </si>
  <si>
    <t>8.2.56</t>
  </si>
  <si>
    <t>8.2.57</t>
  </si>
  <si>
    <t>8.2.58</t>
  </si>
  <si>
    <t>8.2.59</t>
  </si>
  <si>
    <t>8.3</t>
  </si>
  <si>
    <t>8.3.1</t>
  </si>
  <si>
    <t>8.3.2</t>
  </si>
  <si>
    <t>8.3.3</t>
  </si>
  <si>
    <t>8.3.4</t>
  </si>
  <si>
    <t>8.3.5</t>
  </si>
  <si>
    <t>8.3.6</t>
  </si>
  <si>
    <t>8.3.7</t>
  </si>
  <si>
    <t>8.3.8</t>
  </si>
  <si>
    <t>8.3.9</t>
  </si>
  <si>
    <t>8.3.10</t>
  </si>
  <si>
    <t>8.3.11</t>
  </si>
  <si>
    <t>8.3.12</t>
  </si>
  <si>
    <t>8.3.13</t>
  </si>
  <si>
    <t>8.3.14</t>
  </si>
  <si>
    <t>8.3.15</t>
  </si>
  <si>
    <t>8.3.16</t>
  </si>
  <si>
    <t>8.3.17</t>
  </si>
  <si>
    <t>8.3.18</t>
  </si>
  <si>
    <t>8.3.19</t>
  </si>
  <si>
    <t>10.1.1</t>
  </si>
  <si>
    <t>10.1.2</t>
  </si>
  <si>
    <t>10.1.3</t>
  </si>
  <si>
    <t>10.1.4</t>
  </si>
  <si>
    <t>10.1.5</t>
  </si>
  <si>
    <t>10.1.6</t>
  </si>
  <si>
    <t>10.1.7</t>
  </si>
  <si>
    <t>10.1.8</t>
  </si>
  <si>
    <t>10.1.9</t>
  </si>
  <si>
    <t>10.1.10</t>
  </si>
  <si>
    <t>10.1.11</t>
  </si>
  <si>
    <t>10.1.12</t>
  </si>
  <si>
    <t>10.1.13</t>
  </si>
  <si>
    <t>10.1.14</t>
  </si>
  <si>
    <t>10.1.15</t>
  </si>
  <si>
    <t>10.1.16</t>
  </si>
  <si>
    <t>10.1.17</t>
  </si>
  <si>
    <t>10.1.18</t>
  </si>
  <si>
    <t>10.1.19</t>
  </si>
  <si>
    <t>10.1.20</t>
  </si>
  <si>
    <t>10.1.21</t>
  </si>
  <si>
    <t>10.1.22</t>
  </si>
  <si>
    <t>10.1.23</t>
  </si>
  <si>
    <t>10.1.24</t>
  </si>
  <si>
    <t>10.1.25</t>
  </si>
  <si>
    <t>10.1.26</t>
  </si>
  <si>
    <t>10.1.27</t>
  </si>
  <si>
    <t>10.1.28</t>
  </si>
  <si>
    <t>10.1.29</t>
  </si>
  <si>
    <t>10.1.30</t>
  </si>
  <si>
    <t>10.1.31</t>
  </si>
  <si>
    <t>10.1.32</t>
  </si>
  <si>
    <t>10.1.33</t>
  </si>
  <si>
    <t>10.1.34</t>
  </si>
  <si>
    <t>10.1.35</t>
  </si>
  <si>
    <t>10.1.36</t>
  </si>
  <si>
    <t>10.1.37</t>
  </si>
  <si>
    <t>10.1.38</t>
  </si>
  <si>
    <t>10.1.39</t>
  </si>
  <si>
    <t>10.1.40</t>
  </si>
  <si>
    <t>10.1.41</t>
  </si>
  <si>
    <t>10.1.42</t>
  </si>
  <si>
    <t>10.1.43</t>
  </si>
  <si>
    <t>10.1.44</t>
  </si>
  <si>
    <t>10.1.45</t>
  </si>
  <si>
    <t>10.1.46</t>
  </si>
  <si>
    <t>10.2.1</t>
  </si>
  <si>
    <t>10.2.2</t>
  </si>
  <si>
    <t>10.2.3</t>
  </si>
  <si>
    <t>10.2.4</t>
  </si>
  <si>
    <t>10.2.5</t>
  </si>
  <si>
    <t>10.2.6</t>
  </si>
  <si>
    <t>10.2.7</t>
  </si>
  <si>
    <t>10.2.8</t>
  </si>
  <si>
    <t>10.2.9</t>
  </si>
  <si>
    <t>10.2.10</t>
  </si>
  <si>
    <t>10.2.11</t>
  </si>
  <si>
    <t>10.2.12</t>
  </si>
  <si>
    <t>10.3.1</t>
  </si>
  <si>
    <t>10.3.2</t>
  </si>
  <si>
    <t>10.3.3</t>
  </si>
  <si>
    <t>10.3.4</t>
  </si>
  <si>
    <t>30 DIAS</t>
  </si>
  <si>
    <t>60 DIAS</t>
  </si>
  <si>
    <t>90 DIAS</t>
  </si>
  <si>
    <t>120 DIAS</t>
  </si>
  <si>
    <t>150 DIAS</t>
  </si>
  <si>
    <t>180 DIAS</t>
  </si>
  <si>
    <t>TRP 30 DIAS</t>
  </si>
  <si>
    <t>TRD 30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</si>
</sst>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0.0000"/>
  </numFmts>
  <fonts count="17" x14ac:knownFonts="1"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Roboto"/>
    </font>
    <font>
      <sz val="10"/>
      <color theme="1"/>
      <name val="Roboto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25AAE1"/>
        <bgColor indexed="64"/>
      </patternFill>
    </fill>
    <fill>
      <patternFill patternType="solid">
        <fgColor rgb="FFD7EFF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 style="medium">
        <color rgb="FFCCCCCC"/>
      </top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/>
      <bottom style="medium">
        <color rgb="FF999999"/>
      </bottom>
      <diagonal/>
    </border>
    <border>
      <left style="medium">
        <color rgb="FFCCCCCC"/>
      </left>
      <right style="medium">
        <color rgb="FF999999"/>
      </right>
      <top style="medium">
        <color rgb="FFCCCCCC"/>
      </top>
      <bottom style="medium">
        <color rgb="FF999999"/>
      </bottom>
      <diagonal/>
    </border>
    <border>
      <left style="medium">
        <color rgb="FFCCCCCC"/>
      </left>
      <right style="medium">
        <color rgb="FF999999"/>
      </right>
      <top style="medium">
        <color rgb="FFCCCCCC"/>
      </top>
      <bottom style="medium">
        <color rgb="FFCCCCCC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/>
      <diagonal/>
    </border>
    <border>
      <left/>
      <right style="medium">
        <color rgb="FF999999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4">
    <xf numFmtId="0" fontId="0" fillId="0" borderId="0" xfId="0"/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44" fontId="4" fillId="4" borderId="1" xfId="0" applyNumberFormat="1" applyFont="1" applyFill="1" applyBorder="1" applyAlignment="1">
      <alignment horizontal="left" vertical="center"/>
    </xf>
    <xf numFmtId="44" fontId="2" fillId="2" borderId="1" xfId="0" applyNumberFormat="1" applyFont="1" applyFill="1" applyBorder="1" applyAlignment="1">
      <alignment horizontal="left" vertical="center"/>
    </xf>
    <xf numFmtId="44" fontId="2" fillId="0" borderId="1" xfId="0" applyNumberFormat="1" applyFont="1" applyBorder="1" applyAlignment="1">
      <alignment horizontal="left" vertical="center"/>
    </xf>
    <xf numFmtId="44" fontId="3" fillId="5" borderId="1" xfId="0" applyNumberFormat="1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4" fontId="4" fillId="4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 wrapText="1"/>
    </xf>
    <xf numFmtId="4" fontId="2" fillId="0" borderId="0" xfId="0" applyNumberFormat="1" applyFont="1" applyAlignment="1">
      <alignment horizontal="center" vertical="center"/>
    </xf>
    <xf numFmtId="44" fontId="2" fillId="0" borderId="0" xfId="0" applyNumberFormat="1" applyFont="1" applyAlignment="1">
      <alignment horizontal="left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left" vertical="center"/>
    </xf>
    <xf numFmtId="0" fontId="3" fillId="5" borderId="1" xfId="0" applyFont="1" applyFill="1" applyBorder="1" applyAlignment="1">
      <alignment horizontal="right" vertical="center"/>
    </xf>
    <xf numFmtId="0" fontId="2" fillId="6" borderId="1" xfId="0" applyFont="1" applyFill="1" applyBorder="1" applyAlignment="1">
      <alignment horizontal="center" vertical="center"/>
    </xf>
    <xf numFmtId="49" fontId="2" fillId="6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 wrapText="1"/>
    </xf>
    <xf numFmtId="4" fontId="2" fillId="6" borderId="1" xfId="0" applyNumberFormat="1" applyFont="1" applyFill="1" applyBorder="1" applyAlignment="1">
      <alignment horizontal="center" vertical="center"/>
    </xf>
    <xf numFmtId="44" fontId="2" fillId="6" borderId="1" xfId="0" applyNumberFormat="1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44" fontId="2" fillId="0" borderId="1" xfId="0" applyNumberFormat="1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4" fontId="9" fillId="0" borderId="0" xfId="0" applyNumberFormat="1" applyFont="1" applyFill="1" applyBorder="1" applyAlignment="1">
      <alignment horizontal="center" vertical="center"/>
    </xf>
    <xf numFmtId="44" fontId="9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/>
    </xf>
    <xf numFmtId="44" fontId="2" fillId="0" borderId="0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/>
    <xf numFmtId="49" fontId="7" fillId="0" borderId="0" xfId="0" applyNumberFormat="1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horizontal="center" vertical="center"/>
    </xf>
    <xf numFmtId="49" fontId="2" fillId="5" borderId="0" xfId="0" applyNumberFormat="1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4" fontId="2" fillId="5" borderId="0" xfId="0" applyNumberFormat="1" applyFont="1" applyFill="1" applyBorder="1" applyAlignment="1">
      <alignment horizontal="center" vertical="center" wrapText="1"/>
    </xf>
    <xf numFmtId="44" fontId="0" fillId="0" borderId="0" xfId="0" applyNumberFormat="1" applyFill="1" applyBorder="1" applyAlignment="1">
      <alignment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9" fillId="0" borderId="0" xfId="0" applyNumberFormat="1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6" fillId="0" borderId="9" xfId="0" applyFont="1" applyBorder="1" applyAlignment="1">
      <alignment vertical="center" wrapText="1"/>
    </xf>
    <xf numFmtId="0" fontId="16" fillId="14" borderId="9" xfId="0" applyFont="1" applyFill="1" applyBorder="1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10" xfId="1" applyBorder="1" applyAlignment="1">
      <alignment vertical="center" wrapText="1"/>
    </xf>
    <xf numFmtId="8" fontId="16" fillId="14" borderId="9" xfId="0" applyNumberFormat="1" applyFont="1" applyFill="1" applyBorder="1" applyAlignment="1">
      <alignment horizontal="right" vertical="center" wrapText="1"/>
    </xf>
    <xf numFmtId="0" fontId="16" fillId="0" borderId="10" xfId="0" applyFont="1" applyBorder="1" applyAlignment="1">
      <alignment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8" fontId="16" fillId="0" borderId="9" xfId="0" applyNumberFormat="1" applyFont="1" applyBorder="1" applyAlignment="1">
      <alignment horizontal="right" vertical="center" wrapText="1"/>
    </xf>
    <xf numFmtId="0" fontId="9" fillId="0" borderId="9" xfId="0" applyFont="1" applyBorder="1" applyAlignment="1">
      <alignment vertical="center" wrapText="1"/>
    </xf>
    <xf numFmtId="0" fontId="16" fillId="14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4" fontId="2" fillId="0" borderId="0" xfId="0" applyNumberFormat="1" applyFont="1" applyAlignment="1">
      <alignment horizontal="center" vertical="center"/>
    </xf>
    <xf numFmtId="10" fontId="2" fillId="0" borderId="1" xfId="0" applyNumberFormat="1" applyFont="1" applyFill="1" applyBorder="1" applyAlignment="1">
      <alignment horizontal="center" vertical="center"/>
    </xf>
    <xf numFmtId="44" fontId="2" fillId="0" borderId="1" xfId="0" applyNumberFormat="1" applyFont="1" applyBorder="1" applyAlignment="1">
      <alignment horizontal="center" vertical="center"/>
    </xf>
    <xf numFmtId="44" fontId="2" fillId="0" borderId="0" xfId="0" applyNumberFormat="1" applyFont="1" applyFill="1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44" fontId="12" fillId="0" borderId="2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4" fontId="2" fillId="0" borderId="1" xfId="0" applyNumberFormat="1" applyFont="1" applyFill="1" applyBorder="1" applyAlignment="1">
      <alignment horizontal="center" vertical="center"/>
    </xf>
    <xf numFmtId="44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44" fontId="12" fillId="0" borderId="0" xfId="0" applyNumberFormat="1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44" fontId="3" fillId="0" borderId="2" xfId="0" applyNumberFormat="1" applyFont="1" applyFill="1" applyBorder="1" applyAlignment="1">
      <alignment horizontal="center" vertical="center"/>
    </xf>
    <xf numFmtId="44" fontId="4" fillId="0" borderId="1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6" fillId="0" borderId="11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11" xfId="0" applyFont="1" applyBorder="1" applyAlignment="1">
      <alignment vertical="center" wrapText="1"/>
    </xf>
    <xf numFmtId="0" fontId="16" fillId="0" borderId="8" xfId="0" applyFont="1" applyBorder="1" applyAlignment="1">
      <alignment vertical="center" wrapText="1"/>
    </xf>
    <xf numFmtId="0" fontId="16" fillId="14" borderId="11" xfId="0" applyFont="1" applyFill="1" applyBorder="1" applyAlignment="1">
      <alignment vertical="center" wrapText="1"/>
    </xf>
    <xf numFmtId="0" fontId="16" fillId="14" borderId="8" xfId="0" applyFont="1" applyFill="1" applyBorder="1" applyAlignment="1">
      <alignment vertical="center" wrapText="1"/>
    </xf>
    <xf numFmtId="0" fontId="16" fillId="14" borderId="11" xfId="0" applyFont="1" applyFill="1" applyBorder="1" applyAlignment="1">
      <alignment horizontal="center" vertical="center" wrapText="1"/>
    </xf>
    <xf numFmtId="0" fontId="16" fillId="14" borderId="8" xfId="0" applyFont="1" applyFill="1" applyBorder="1" applyAlignment="1">
      <alignment horizontal="center" vertical="center" wrapText="1"/>
    </xf>
    <xf numFmtId="8" fontId="16" fillId="7" borderId="0" xfId="0" applyNumberFormat="1" applyFont="1" applyFill="1" applyBorder="1" applyAlignment="1">
      <alignment horizontal="right" vertical="center" wrapText="1"/>
    </xf>
    <xf numFmtId="8" fontId="16" fillId="7" borderId="12" xfId="0" applyNumberFormat="1" applyFont="1" applyFill="1" applyBorder="1" applyAlignment="1">
      <alignment horizontal="right" vertical="center" wrapText="1"/>
    </xf>
    <xf numFmtId="0" fontId="9" fillId="12" borderId="1" xfId="0" applyFont="1" applyFill="1" applyBorder="1" applyAlignment="1">
      <alignment horizontal="center" vertical="center" wrapText="1"/>
    </xf>
    <xf numFmtId="2" fontId="13" fillId="13" borderId="1" xfId="0" applyNumberFormat="1" applyFont="1" applyFill="1" applyBorder="1" applyAlignment="1">
      <alignment horizontal="right" vertical="center" wrapText="1"/>
    </xf>
    <xf numFmtId="0" fontId="9" fillId="11" borderId="1" xfId="0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right" vertical="center"/>
    </xf>
    <xf numFmtId="0" fontId="9" fillId="10" borderId="1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right" vertical="center" wrapText="1"/>
    </xf>
    <xf numFmtId="0" fontId="9" fillId="8" borderId="1" xfId="0" applyFont="1" applyFill="1" applyBorder="1" applyAlignment="1">
      <alignment horizontal="center"/>
    </xf>
    <xf numFmtId="0" fontId="9" fillId="9" borderId="1" xfId="0" applyFont="1" applyFill="1" applyBorder="1" applyAlignment="1">
      <alignment horizont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colors>
    <mruColors>
      <color rgb="FF25AAE1"/>
      <color rgb="FF0000FF"/>
      <color rgb="FFD7EFF9"/>
      <color rgb="FFD4F8FC"/>
      <color rgb="FF90D5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moveca.com.br/products/cadeira-sessy" TargetMode="External"/><Relationship Id="rId13" Type="http://schemas.openxmlformats.org/officeDocument/2006/relationships/hyperlink" Target="https://menu.casa/produtos/sofa-tangerina/" TargetMode="External"/><Relationship Id="rId18" Type="http://schemas.openxmlformats.org/officeDocument/2006/relationships/hyperlink" Target="https://ricco.com.br/produto/mesa-h-o-cavalete" TargetMode="External"/><Relationship Id="rId3" Type="http://schemas.openxmlformats.org/officeDocument/2006/relationships/hyperlink" Target="https://saarinen.com.br/produto/base-saarinen-redonda/" TargetMode="External"/><Relationship Id="rId21" Type="http://schemas.openxmlformats.org/officeDocument/2006/relationships/hyperlink" Target="https://www.tokstok.com.br/armario-baixo-2-portas-branco-find/p" TargetMode="External"/><Relationship Id="rId7" Type="http://schemas.openxmlformats.org/officeDocument/2006/relationships/hyperlink" Target="https://franccino.com.br/produto/cadeira-rio/" TargetMode="External"/><Relationship Id="rId12" Type="http://schemas.openxmlformats.org/officeDocument/2006/relationships/hyperlink" Target="https://saccaro.com.br/products/sofa_bistro" TargetMode="External"/><Relationship Id="rId17" Type="http://schemas.openxmlformats.org/officeDocument/2006/relationships/hyperlink" Target="https://loja.gelopar.com.br/produto/80237.01.2/grep-4p-ai" TargetMode="External"/><Relationship Id="rId2" Type="http://schemas.openxmlformats.org/officeDocument/2006/relationships/hyperlink" Target="https://saarinen.com.br/produto/base-saarinen-redonda/" TargetMode="External"/><Relationship Id="rId16" Type="http://schemas.openxmlformats.org/officeDocument/2006/relationships/hyperlink" Target="https://venax.com.br/categoria-produto/linha-industrial/fogoes-industriais/fogao-ind-4-bocas/industrial-4-q-com-forno/fogao-a-gas-industrial-ffi-430/fogao-industrial-ffi-430-gas-glp/" TargetMode="External"/><Relationship Id="rId20" Type="http://schemas.openxmlformats.org/officeDocument/2006/relationships/hyperlink" Target="https://ricco.com.br/produto/mesa-de-reuniao-gama" TargetMode="External"/><Relationship Id="rId1" Type="http://schemas.openxmlformats.org/officeDocument/2006/relationships/hyperlink" Target="https://saarinen.com.br/produto/base-saarinen-redonda/" TargetMode="External"/><Relationship Id="rId6" Type="http://schemas.openxmlformats.org/officeDocument/2006/relationships/hyperlink" Target="https://clami.com.br/produto/cadeira-ale" TargetMode="External"/><Relationship Id="rId11" Type="http://schemas.openxmlformats.org/officeDocument/2006/relationships/hyperlink" Target="https://clami.com.br/produto/ettro" TargetMode="External"/><Relationship Id="rId5" Type="http://schemas.openxmlformats.org/officeDocument/2006/relationships/hyperlink" Target="https://saccaro.com.br/products/mesa_centro_mandala" TargetMode="External"/><Relationship Id="rId15" Type="http://schemas.openxmlformats.org/officeDocument/2006/relationships/hyperlink" Target="https://www.leroymerlin.com.br/prateleira-de-madeira-mdp-branca-120x40cm-luciane_89457732?referrer=category-page" TargetMode="External"/><Relationship Id="rId10" Type="http://schemas.openxmlformats.org/officeDocument/2006/relationships/hyperlink" Target="https://franccino.com.br/produto/poltrona-altiva/" TargetMode="External"/><Relationship Id="rId19" Type="http://schemas.openxmlformats.org/officeDocument/2006/relationships/hyperlink" Target="https://www.flexform.com.br/cadeiras/cadeiras-fixas-cadeira-valentina-grey" TargetMode="External"/><Relationship Id="rId4" Type="http://schemas.openxmlformats.org/officeDocument/2006/relationships/hyperlink" Target="https://franccino.com.br/produto/mesa-de-centro-geo/" TargetMode="External"/><Relationship Id="rId9" Type="http://schemas.openxmlformats.org/officeDocument/2006/relationships/hyperlink" Target="https://www.breton.com.br/poltrona-tropico-breton/p" TargetMode="External"/><Relationship Id="rId14" Type="http://schemas.openxmlformats.org/officeDocument/2006/relationships/hyperlink" Target="https://loja.auratec.com.br/produtos/palco-praticavel-1-x-1m-pes-40-60cm-telescopicos/" TargetMode="External"/><Relationship Id="rId22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5"/>
  <sheetViews>
    <sheetView tabSelected="1" zoomScale="85" zoomScaleNormal="85" zoomScalePageLayoutView="70" workbookViewId="0">
      <pane ySplit="3" topLeftCell="A4" activePane="bottomLeft" state="frozen"/>
      <selection pane="bottomLeft" activeCell="D16" sqref="D16"/>
    </sheetView>
  </sheetViews>
  <sheetFormatPr defaultColWidth="9.140625" defaultRowHeight="14.25" x14ac:dyDescent="0.25"/>
  <cols>
    <col min="1" max="1" width="10.5703125" style="9" bestFit="1" customWidth="1"/>
    <col min="2" max="2" width="18" style="9" hidden="1" customWidth="1"/>
    <col min="3" max="3" width="19.85546875" style="27" hidden="1" customWidth="1"/>
    <col min="4" max="4" width="52.28515625" style="8" customWidth="1"/>
    <col min="5" max="5" width="11.28515625" style="9" customWidth="1"/>
    <col min="6" max="6" width="11.85546875" style="24" customWidth="1"/>
    <col min="7" max="7" width="19" style="25" customWidth="1"/>
    <col min="8" max="8" width="21" style="25" customWidth="1"/>
    <col min="9" max="9" width="16.140625" style="1" bestFit="1" customWidth="1"/>
    <col min="10" max="10" width="15.140625" style="1" bestFit="1" customWidth="1"/>
    <col min="11" max="16384" width="9.140625" style="1"/>
  </cols>
  <sheetData>
    <row r="1" spans="1:9" s="7" customFormat="1" ht="15" x14ac:dyDescent="0.25">
      <c r="A1" s="112" t="s">
        <v>196</v>
      </c>
      <c r="B1" s="113"/>
      <c r="C1" s="113"/>
      <c r="D1" s="113"/>
      <c r="E1" s="113"/>
      <c r="F1" s="113"/>
      <c r="G1" s="113"/>
      <c r="H1" s="114"/>
    </row>
    <row r="2" spans="1:9" ht="7.5" customHeight="1" x14ac:dyDescent="0.25">
      <c r="A2" s="1"/>
      <c r="B2" s="1"/>
      <c r="C2" s="23"/>
    </row>
    <row r="3" spans="1:9" ht="29.25" customHeight="1" x14ac:dyDescent="0.25">
      <c r="A3" s="2" t="s">
        <v>2</v>
      </c>
      <c r="B3" s="2" t="s">
        <v>11</v>
      </c>
      <c r="C3" s="20" t="s">
        <v>12</v>
      </c>
      <c r="D3" s="2" t="s">
        <v>18</v>
      </c>
      <c r="E3" s="2" t="s">
        <v>8</v>
      </c>
      <c r="F3" s="26" t="s">
        <v>14</v>
      </c>
      <c r="G3" s="2" t="s">
        <v>9</v>
      </c>
      <c r="H3" s="2" t="s">
        <v>10</v>
      </c>
    </row>
    <row r="4" spans="1:9" s="14" customFormat="1" ht="15" x14ac:dyDescent="0.25">
      <c r="A4" s="10">
        <v>1</v>
      </c>
      <c r="B4" s="10"/>
      <c r="C4" s="11"/>
      <c r="D4" s="12" t="s">
        <v>24</v>
      </c>
      <c r="E4" s="10"/>
      <c r="F4" s="13"/>
      <c r="G4" s="3"/>
      <c r="H4" s="3">
        <f>SUM(H5:H13)</f>
        <v>205279.71999999997</v>
      </c>
      <c r="I4" s="28"/>
    </row>
    <row r="5" spans="1:9" x14ac:dyDescent="0.25">
      <c r="A5" s="15" t="s">
        <v>3</v>
      </c>
      <c r="B5" s="15" t="s">
        <v>19</v>
      </c>
      <c r="C5" s="16" t="s">
        <v>26</v>
      </c>
      <c r="D5" s="17" t="s">
        <v>25</v>
      </c>
      <c r="E5" s="15" t="s">
        <v>13</v>
      </c>
      <c r="F5" s="18">
        <v>5</v>
      </c>
      <c r="G5" s="5">
        <v>904.29</v>
      </c>
      <c r="H5" s="5">
        <f t="shared" ref="H5:H32" si="0">F5*G5</f>
        <v>4521.45</v>
      </c>
    </row>
    <row r="6" spans="1:9" x14ac:dyDescent="0.25">
      <c r="A6" s="15" t="s">
        <v>4</v>
      </c>
      <c r="B6" s="15" t="s">
        <v>19</v>
      </c>
      <c r="C6" s="16" t="s">
        <v>27</v>
      </c>
      <c r="D6" s="17" t="s">
        <v>72</v>
      </c>
      <c r="E6" s="15" t="s">
        <v>13</v>
      </c>
      <c r="F6" s="18">
        <v>10255</v>
      </c>
      <c r="G6" s="5">
        <v>8.6199999999999992</v>
      </c>
      <c r="H6" s="5">
        <f t="shared" si="0"/>
        <v>88398.099999999991</v>
      </c>
    </row>
    <row r="7" spans="1:9" ht="28.5" x14ac:dyDescent="0.25">
      <c r="A7" s="15" t="s">
        <v>5</v>
      </c>
      <c r="B7" s="15" t="s">
        <v>19</v>
      </c>
      <c r="C7" s="16" t="s">
        <v>31</v>
      </c>
      <c r="D7" s="17" t="s">
        <v>29</v>
      </c>
      <c r="E7" s="15" t="s">
        <v>28</v>
      </c>
      <c r="F7" s="18">
        <v>51</v>
      </c>
      <c r="G7" s="5">
        <v>34.909999999999997</v>
      </c>
      <c r="H7" s="5">
        <f t="shared" si="0"/>
        <v>1780.4099999999999</v>
      </c>
    </row>
    <row r="8" spans="1:9" ht="28.5" x14ac:dyDescent="0.25">
      <c r="A8" s="15" t="s">
        <v>104</v>
      </c>
      <c r="B8" s="15" t="s">
        <v>19</v>
      </c>
      <c r="C8" s="16" t="s">
        <v>32</v>
      </c>
      <c r="D8" s="17" t="s">
        <v>71</v>
      </c>
      <c r="E8" s="15" t="s">
        <v>30</v>
      </c>
      <c r="F8" s="18">
        <v>178.5</v>
      </c>
      <c r="G8" s="5">
        <v>29.04</v>
      </c>
      <c r="H8" s="5">
        <f t="shared" si="0"/>
        <v>5183.6399999999994</v>
      </c>
    </row>
    <row r="9" spans="1:9" x14ac:dyDescent="0.25">
      <c r="A9" s="15" t="s">
        <v>105</v>
      </c>
      <c r="B9" s="15" t="s">
        <v>19</v>
      </c>
      <c r="C9" s="16" t="s">
        <v>35</v>
      </c>
      <c r="D9" s="17" t="s">
        <v>33</v>
      </c>
      <c r="E9" s="15" t="s">
        <v>34</v>
      </c>
      <c r="F9" s="18">
        <f>100*0.1</f>
        <v>10</v>
      </c>
      <c r="G9" s="5">
        <v>104.34</v>
      </c>
      <c r="H9" s="5">
        <f t="shared" si="0"/>
        <v>1043.4000000000001</v>
      </c>
    </row>
    <row r="10" spans="1:9" ht="57" x14ac:dyDescent="0.25">
      <c r="A10" s="15" t="s">
        <v>106</v>
      </c>
      <c r="B10" s="15" t="s">
        <v>19</v>
      </c>
      <c r="C10" s="16" t="s">
        <v>56</v>
      </c>
      <c r="D10" s="17" t="s">
        <v>55</v>
      </c>
      <c r="E10" s="15" t="s">
        <v>34</v>
      </c>
      <c r="F10" s="18">
        <f>6*15</f>
        <v>90</v>
      </c>
      <c r="G10" s="5">
        <v>131.77000000000001</v>
      </c>
      <c r="H10" s="5">
        <f t="shared" si="0"/>
        <v>11859.300000000001</v>
      </c>
    </row>
    <row r="11" spans="1:9" ht="42.75" x14ac:dyDescent="0.25">
      <c r="A11" s="15" t="s">
        <v>107</v>
      </c>
      <c r="B11" s="15" t="s">
        <v>19</v>
      </c>
      <c r="C11" s="16" t="s">
        <v>73</v>
      </c>
      <c r="D11" s="17" t="s">
        <v>74</v>
      </c>
      <c r="E11" s="15" t="s">
        <v>68</v>
      </c>
      <c r="F11" s="18">
        <f>2*6</f>
        <v>12</v>
      </c>
      <c r="G11" s="5">
        <v>1484.27</v>
      </c>
      <c r="H11" s="5">
        <f t="shared" si="0"/>
        <v>17811.239999999998</v>
      </c>
    </row>
    <row r="12" spans="1:9" ht="28.5" x14ac:dyDescent="0.25">
      <c r="A12" s="15" t="s">
        <v>108</v>
      </c>
      <c r="B12" s="15" t="s">
        <v>19</v>
      </c>
      <c r="C12" s="16" t="s">
        <v>75</v>
      </c>
      <c r="D12" s="17" t="s">
        <v>76</v>
      </c>
      <c r="E12" s="15" t="s">
        <v>68</v>
      </c>
      <c r="F12" s="18">
        <f>1*6</f>
        <v>6</v>
      </c>
      <c r="G12" s="5">
        <v>975.03</v>
      </c>
      <c r="H12" s="5">
        <f t="shared" si="0"/>
        <v>5850.18</v>
      </c>
    </row>
    <row r="13" spans="1:9" ht="15" x14ac:dyDescent="0.25">
      <c r="A13" s="15" t="s">
        <v>109</v>
      </c>
      <c r="B13" s="15" t="s">
        <v>19</v>
      </c>
      <c r="C13" s="16" t="s">
        <v>70</v>
      </c>
      <c r="D13" s="17" t="s">
        <v>69</v>
      </c>
      <c r="E13" s="15" t="s">
        <v>13</v>
      </c>
      <c r="F13" s="18">
        <v>600</v>
      </c>
      <c r="G13" s="5">
        <v>114.72</v>
      </c>
      <c r="H13" s="5">
        <f t="shared" si="0"/>
        <v>68832</v>
      </c>
      <c r="I13" s="28"/>
    </row>
    <row r="14" spans="1:9" s="14" customFormat="1" ht="15" x14ac:dyDescent="0.25">
      <c r="A14" s="10">
        <v>2</v>
      </c>
      <c r="B14" s="10"/>
      <c r="C14" s="11"/>
      <c r="D14" s="12" t="s">
        <v>194</v>
      </c>
      <c r="E14" s="10"/>
      <c r="F14" s="13"/>
      <c r="G14" s="3"/>
      <c r="H14" s="3">
        <f>SUM(H15,H20)</f>
        <v>346521.66829199996</v>
      </c>
      <c r="I14" s="28"/>
    </row>
    <row r="15" spans="1:9" ht="15" x14ac:dyDescent="0.25">
      <c r="A15" s="19" t="s">
        <v>6</v>
      </c>
      <c r="B15" s="19"/>
      <c r="C15" s="20"/>
      <c r="D15" s="21" t="s">
        <v>45</v>
      </c>
      <c r="E15" s="19"/>
      <c r="F15" s="22"/>
      <c r="G15" s="4"/>
      <c r="H15" s="4">
        <f>SUM(H16:H19)</f>
        <v>51426.230712000004</v>
      </c>
      <c r="I15" s="28"/>
    </row>
    <row r="16" spans="1:9" ht="28.5" x14ac:dyDescent="0.25">
      <c r="A16" s="15" t="s">
        <v>363</v>
      </c>
      <c r="B16" s="15" t="s">
        <v>19</v>
      </c>
      <c r="C16" s="16" t="s">
        <v>46</v>
      </c>
      <c r="D16" s="17" t="s">
        <v>47</v>
      </c>
      <c r="E16" s="15" t="s">
        <v>48</v>
      </c>
      <c r="F16" s="18">
        <f>'QUADRO ÁREAS'!B6</f>
        <v>193.5</v>
      </c>
      <c r="G16" s="5">
        <v>117.45</v>
      </c>
      <c r="H16" s="5">
        <f t="shared" si="0"/>
        <v>22726.575000000001</v>
      </c>
      <c r="I16" s="28"/>
    </row>
    <row r="17" spans="1:9" ht="28.5" x14ac:dyDescent="0.25">
      <c r="A17" s="15" t="s">
        <v>364</v>
      </c>
      <c r="B17" s="15" t="s">
        <v>19</v>
      </c>
      <c r="C17" s="16" t="s">
        <v>61</v>
      </c>
      <c r="D17" s="17" t="s">
        <v>60</v>
      </c>
      <c r="E17" s="15" t="s">
        <v>13</v>
      </c>
      <c r="F17" s="18">
        <f>F16*0.6</f>
        <v>116.1</v>
      </c>
      <c r="G17" s="5">
        <v>52.15</v>
      </c>
      <c r="H17" s="5">
        <f t="shared" si="0"/>
        <v>6054.6149999999998</v>
      </c>
      <c r="I17" s="28"/>
    </row>
    <row r="18" spans="1:9" s="40" customFormat="1" ht="42.75" x14ac:dyDescent="0.25">
      <c r="A18" s="15" t="s">
        <v>365</v>
      </c>
      <c r="B18" s="62" t="s">
        <v>19</v>
      </c>
      <c r="C18" s="62" t="s">
        <v>122</v>
      </c>
      <c r="D18" s="17" t="s">
        <v>123</v>
      </c>
      <c r="E18" s="63" t="s">
        <v>34</v>
      </c>
      <c r="F18" s="38">
        <f>F19*0.3*0.3</f>
        <v>16.809299999999997</v>
      </c>
      <c r="G18" s="39">
        <v>90.84</v>
      </c>
      <c r="H18" s="39">
        <f t="shared" si="0"/>
        <v>1526.9568119999997</v>
      </c>
    </row>
    <row r="19" spans="1:9" ht="28.5" x14ac:dyDescent="0.25">
      <c r="A19" s="15" t="s">
        <v>366</v>
      </c>
      <c r="B19" s="15" t="s">
        <v>19</v>
      </c>
      <c r="C19" s="16" t="s">
        <v>49</v>
      </c>
      <c r="D19" s="17" t="s">
        <v>50</v>
      </c>
      <c r="E19" s="15" t="s">
        <v>28</v>
      </c>
      <c r="F19" s="18">
        <f>45.35+70.71*2</f>
        <v>186.76999999999998</v>
      </c>
      <c r="G19" s="5">
        <v>113.07</v>
      </c>
      <c r="H19" s="5">
        <f t="shared" si="0"/>
        <v>21118.083899999998</v>
      </c>
      <c r="I19" s="28"/>
    </row>
    <row r="20" spans="1:9" ht="15" x14ac:dyDescent="0.25">
      <c r="A20" s="19" t="s">
        <v>7</v>
      </c>
      <c r="B20" s="19"/>
      <c r="C20" s="20"/>
      <c r="D20" s="21" t="s">
        <v>191</v>
      </c>
      <c r="E20" s="19"/>
      <c r="F20" s="22"/>
      <c r="G20" s="4"/>
      <c r="H20" s="4">
        <f>SUM(H21:H30)</f>
        <v>295095.43757999997</v>
      </c>
      <c r="I20" s="28"/>
    </row>
    <row r="21" spans="1:9" ht="15" x14ac:dyDescent="0.25">
      <c r="A21" s="15" t="s">
        <v>367</v>
      </c>
      <c r="B21" s="15" t="s">
        <v>19</v>
      </c>
      <c r="C21" s="16" t="s">
        <v>44</v>
      </c>
      <c r="D21" s="17" t="s">
        <v>51</v>
      </c>
      <c r="E21" s="15" t="s">
        <v>52</v>
      </c>
      <c r="F21" s="18">
        <f>'QUADRO ÁREAS'!B2</f>
        <v>387.76</v>
      </c>
      <c r="G21" s="5">
        <v>18.170000000000002</v>
      </c>
      <c r="H21" s="5">
        <f t="shared" si="0"/>
        <v>7045.5992000000006</v>
      </c>
      <c r="I21" s="28"/>
    </row>
    <row r="22" spans="1:9" ht="28.5" x14ac:dyDescent="0.25">
      <c r="A22" s="15" t="s">
        <v>368</v>
      </c>
      <c r="B22" s="15" t="s">
        <v>19</v>
      </c>
      <c r="C22" s="16" t="s">
        <v>193</v>
      </c>
      <c r="D22" s="17" t="s">
        <v>192</v>
      </c>
      <c r="E22" s="15" t="s">
        <v>52</v>
      </c>
      <c r="F22" s="18">
        <v>26.05</v>
      </c>
      <c r="G22" s="5">
        <v>9.08</v>
      </c>
      <c r="H22" s="5">
        <f t="shared" si="0"/>
        <v>236.53400000000002</v>
      </c>
      <c r="I22" s="28"/>
    </row>
    <row r="23" spans="1:9" ht="15" x14ac:dyDescent="0.25">
      <c r="A23" s="15" t="s">
        <v>369</v>
      </c>
      <c r="B23" s="15" t="s">
        <v>19</v>
      </c>
      <c r="C23" s="16" t="s">
        <v>27</v>
      </c>
      <c r="D23" s="17" t="s">
        <v>98</v>
      </c>
      <c r="E23" s="15" t="s">
        <v>13</v>
      </c>
      <c r="F23" s="18">
        <f>F21*3</f>
        <v>1163.28</v>
      </c>
      <c r="G23" s="5">
        <v>8.6199999999999992</v>
      </c>
      <c r="H23" s="5">
        <f t="shared" si="0"/>
        <v>10027.473599999999</v>
      </c>
      <c r="I23" s="28"/>
    </row>
    <row r="24" spans="1:9" ht="28.5" x14ac:dyDescent="0.25">
      <c r="A24" s="15" t="s">
        <v>370</v>
      </c>
      <c r="B24" s="15" t="s">
        <v>19</v>
      </c>
      <c r="C24" s="16" t="s">
        <v>65</v>
      </c>
      <c r="D24" s="17" t="s">
        <v>64</v>
      </c>
      <c r="E24" s="15" t="s">
        <v>52</v>
      </c>
      <c r="F24" s="18">
        <f>F21</f>
        <v>387.76</v>
      </c>
      <c r="G24" s="5">
        <v>9.4499999999999993</v>
      </c>
      <c r="H24" s="5">
        <f t="shared" si="0"/>
        <v>3664.3319999999994</v>
      </c>
      <c r="I24" s="28"/>
    </row>
    <row r="25" spans="1:9" ht="28.5" x14ac:dyDescent="0.25">
      <c r="A25" s="15" t="s">
        <v>371</v>
      </c>
      <c r="B25" s="15" t="s">
        <v>19</v>
      </c>
      <c r="C25" s="16" t="s">
        <v>40</v>
      </c>
      <c r="D25" s="17" t="s">
        <v>36</v>
      </c>
      <c r="E25" s="15" t="s">
        <v>52</v>
      </c>
      <c r="F25" s="18">
        <f>F21+F22</f>
        <v>413.81</v>
      </c>
      <c r="G25" s="5">
        <v>117.97</v>
      </c>
      <c r="H25" s="5">
        <f t="shared" si="0"/>
        <v>48817.165699999998</v>
      </c>
      <c r="I25" s="28"/>
    </row>
    <row r="26" spans="1:9" ht="28.5" x14ac:dyDescent="0.25">
      <c r="A26" s="15" t="s">
        <v>372</v>
      </c>
      <c r="B26" s="15" t="s">
        <v>19</v>
      </c>
      <c r="C26" s="16" t="s">
        <v>41</v>
      </c>
      <c r="D26" s="17" t="s">
        <v>37</v>
      </c>
      <c r="E26" s="15" t="s">
        <v>13</v>
      </c>
      <c r="F26" s="18">
        <f>223.41+164.56+380.46</f>
        <v>768.43000000000006</v>
      </c>
      <c r="G26" s="5">
        <v>118.22</v>
      </c>
      <c r="H26" s="5">
        <f t="shared" si="0"/>
        <v>90843.794600000008</v>
      </c>
      <c r="I26" s="28"/>
    </row>
    <row r="27" spans="1:9" ht="15" x14ac:dyDescent="0.25">
      <c r="A27" s="15" t="s">
        <v>373</v>
      </c>
      <c r="B27" s="15" t="s">
        <v>19</v>
      </c>
      <c r="C27" s="16" t="s">
        <v>41</v>
      </c>
      <c r="D27" s="17" t="s">
        <v>38</v>
      </c>
      <c r="E27" s="15" t="s">
        <v>13</v>
      </c>
      <c r="F27" s="18">
        <v>505.47</v>
      </c>
      <c r="G27" s="5">
        <v>118.22</v>
      </c>
      <c r="H27" s="5">
        <f t="shared" si="0"/>
        <v>59756.663400000005</v>
      </c>
      <c r="I27" s="28"/>
    </row>
    <row r="28" spans="1:9" x14ac:dyDescent="0.25">
      <c r="A28" s="15" t="s">
        <v>374</v>
      </c>
      <c r="B28" s="15" t="s">
        <v>19</v>
      </c>
      <c r="C28" s="16" t="s">
        <v>42</v>
      </c>
      <c r="D28" s="17" t="s">
        <v>39</v>
      </c>
      <c r="E28" s="15" t="s">
        <v>13</v>
      </c>
      <c r="F28" s="18">
        <f>F26+F27</f>
        <v>1273.9000000000001</v>
      </c>
      <c r="G28" s="5">
        <v>17.07</v>
      </c>
      <c r="H28" s="5">
        <f t="shared" si="0"/>
        <v>21745.473000000002</v>
      </c>
    </row>
    <row r="29" spans="1:9" x14ac:dyDescent="0.25">
      <c r="A29" s="15" t="s">
        <v>375</v>
      </c>
      <c r="B29" s="15" t="s">
        <v>19</v>
      </c>
      <c r="C29" s="16" t="s">
        <v>53</v>
      </c>
      <c r="D29" s="17" t="s">
        <v>54</v>
      </c>
      <c r="E29" s="15" t="s">
        <v>52</v>
      </c>
      <c r="F29" s="18">
        <f>F21*70%</f>
        <v>271.43199999999996</v>
      </c>
      <c r="G29" s="5">
        <v>143.09</v>
      </c>
      <c r="H29" s="5">
        <f t="shared" si="0"/>
        <v>38839.204879999998</v>
      </c>
    </row>
    <row r="30" spans="1:9" ht="28.5" x14ac:dyDescent="0.25">
      <c r="A30" s="15" t="s">
        <v>376</v>
      </c>
      <c r="B30" s="15" t="s">
        <v>19</v>
      </c>
      <c r="C30" s="16" t="s">
        <v>43</v>
      </c>
      <c r="D30" s="17" t="s">
        <v>63</v>
      </c>
      <c r="E30" s="15" t="s">
        <v>13</v>
      </c>
      <c r="F30" s="18">
        <f>F21+F22</f>
        <v>413.81</v>
      </c>
      <c r="G30" s="5">
        <v>34.119999999999997</v>
      </c>
      <c r="H30" s="5">
        <f t="shared" si="0"/>
        <v>14119.197199999999</v>
      </c>
    </row>
    <row r="31" spans="1:9" s="14" customFormat="1" ht="15" x14ac:dyDescent="0.25">
      <c r="A31" s="10">
        <v>3</v>
      </c>
      <c r="B31" s="10"/>
      <c r="C31" s="11"/>
      <c r="D31" s="12" t="s">
        <v>195</v>
      </c>
      <c r="E31" s="10"/>
      <c r="F31" s="13"/>
      <c r="G31" s="3"/>
      <c r="H31" s="3">
        <f>SUM(H32:H33,H39)</f>
        <v>83900.442215999996</v>
      </c>
      <c r="I31" s="28"/>
    </row>
    <row r="32" spans="1:9" ht="28.5" x14ac:dyDescent="0.25">
      <c r="A32" s="15" t="s">
        <v>16</v>
      </c>
      <c r="B32" s="15" t="s">
        <v>19</v>
      </c>
      <c r="C32" s="16" t="s">
        <v>101</v>
      </c>
      <c r="D32" s="17" t="s">
        <v>100</v>
      </c>
      <c r="E32" s="15" t="s">
        <v>13</v>
      </c>
      <c r="F32" s="18">
        <f>'QUADRO ÁREAS'!B3</f>
        <v>182.56</v>
      </c>
      <c r="G32" s="5">
        <v>29.52</v>
      </c>
      <c r="H32" s="5">
        <f t="shared" si="0"/>
        <v>5389.1711999999998</v>
      </c>
      <c r="I32" s="28"/>
    </row>
    <row r="33" spans="1:9" ht="15" x14ac:dyDescent="0.25">
      <c r="A33" s="30" t="s">
        <v>17</v>
      </c>
      <c r="B33" s="30"/>
      <c r="C33" s="31"/>
      <c r="D33" s="32" t="s">
        <v>78</v>
      </c>
      <c r="E33" s="30"/>
      <c r="F33" s="33"/>
      <c r="G33" s="34"/>
      <c r="H33" s="34">
        <f>SUM(H34:H38)</f>
        <v>10393.7503</v>
      </c>
      <c r="I33" s="28"/>
    </row>
    <row r="34" spans="1:9" x14ac:dyDescent="0.25">
      <c r="A34" s="15" t="s">
        <v>377</v>
      </c>
      <c r="B34" s="15" t="s">
        <v>19</v>
      </c>
      <c r="C34" s="16" t="s">
        <v>79</v>
      </c>
      <c r="D34" s="17" t="s">
        <v>80</v>
      </c>
      <c r="E34" s="15" t="s">
        <v>13</v>
      </c>
      <c r="F34" s="18">
        <f>'QUADRO ÁREAS'!B5</f>
        <v>59.6</v>
      </c>
      <c r="G34" s="5">
        <v>9.9600000000000009</v>
      </c>
      <c r="H34" s="5">
        <f t="shared" ref="H34:H38" si="1">F34*G34</f>
        <v>593.6160000000001</v>
      </c>
    </row>
    <row r="35" spans="1:9" ht="28.5" x14ac:dyDescent="0.25">
      <c r="A35" s="15" t="s">
        <v>378</v>
      </c>
      <c r="B35" s="15" t="s">
        <v>19</v>
      </c>
      <c r="C35" s="16" t="s">
        <v>65</v>
      </c>
      <c r="D35" s="17" t="s">
        <v>81</v>
      </c>
      <c r="E35" s="15" t="s">
        <v>13</v>
      </c>
      <c r="F35" s="18">
        <f>F34</f>
        <v>59.6</v>
      </c>
      <c r="G35" s="5">
        <v>9.4499999999999993</v>
      </c>
      <c r="H35" s="5">
        <f t="shared" si="1"/>
        <v>563.22</v>
      </c>
    </row>
    <row r="36" spans="1:9" x14ac:dyDescent="0.25">
      <c r="A36" s="15" t="s">
        <v>379</v>
      </c>
      <c r="B36" s="15" t="s">
        <v>19</v>
      </c>
      <c r="C36" s="16" t="s">
        <v>82</v>
      </c>
      <c r="D36" s="17" t="s">
        <v>83</v>
      </c>
      <c r="E36" s="15" t="s">
        <v>28</v>
      </c>
      <c r="F36" s="18">
        <f>'QUADRO ÁREAS'!B7*65%</f>
        <v>51.35</v>
      </c>
      <c r="G36" s="5">
        <v>56.99</v>
      </c>
      <c r="H36" s="5">
        <f t="shared" si="1"/>
        <v>2926.4365000000003</v>
      </c>
    </row>
    <row r="37" spans="1:9" ht="28.5" x14ac:dyDescent="0.25">
      <c r="A37" s="15" t="s">
        <v>380</v>
      </c>
      <c r="B37" s="15" t="s">
        <v>19</v>
      </c>
      <c r="C37" s="16" t="s">
        <v>84</v>
      </c>
      <c r="D37" s="17" t="s">
        <v>85</v>
      </c>
      <c r="E37" s="15" t="s">
        <v>13</v>
      </c>
      <c r="F37" s="18">
        <f>F34*65%</f>
        <v>38.74</v>
      </c>
      <c r="G37" s="5">
        <v>47.57</v>
      </c>
      <c r="H37" s="5">
        <f t="shared" si="1"/>
        <v>1842.8618000000001</v>
      </c>
    </row>
    <row r="38" spans="1:9" ht="28.5" x14ac:dyDescent="0.25">
      <c r="A38" s="15" t="s">
        <v>381</v>
      </c>
      <c r="B38" s="15" t="s">
        <v>19</v>
      </c>
      <c r="C38" s="16" t="s">
        <v>62</v>
      </c>
      <c r="D38" s="17" t="s">
        <v>86</v>
      </c>
      <c r="E38" s="15" t="s">
        <v>13</v>
      </c>
      <c r="F38" s="18">
        <f>F34*2</f>
        <v>119.2</v>
      </c>
      <c r="G38" s="5">
        <v>37.479999999999997</v>
      </c>
      <c r="H38" s="5">
        <f t="shared" si="1"/>
        <v>4467.616</v>
      </c>
    </row>
    <row r="39" spans="1:9" ht="15" x14ac:dyDescent="0.25">
      <c r="A39" s="30" t="s">
        <v>110</v>
      </c>
      <c r="B39" s="30"/>
      <c r="C39" s="31"/>
      <c r="D39" s="32" t="s">
        <v>87</v>
      </c>
      <c r="E39" s="30"/>
      <c r="F39" s="33"/>
      <c r="G39" s="34"/>
      <c r="H39" s="34">
        <f>SUM(H40:H50)</f>
        <v>68117.520715999999</v>
      </c>
      <c r="I39" s="28"/>
    </row>
    <row r="40" spans="1:9" ht="28.5" x14ac:dyDescent="0.25">
      <c r="A40" s="15" t="s">
        <v>382</v>
      </c>
      <c r="B40" s="15" t="s">
        <v>19</v>
      </c>
      <c r="C40" s="16" t="s">
        <v>88</v>
      </c>
      <c r="D40" s="17" t="s">
        <v>89</v>
      </c>
      <c r="E40" s="15" t="s">
        <v>28</v>
      </c>
      <c r="F40" s="18">
        <f>'QUADRO ÁREAS'!B7*35%</f>
        <v>27.65</v>
      </c>
      <c r="G40" s="5">
        <v>6.1</v>
      </c>
      <c r="H40" s="5">
        <f t="shared" ref="H40:H50" si="2">F40*G40</f>
        <v>168.66499999999999</v>
      </c>
    </row>
    <row r="41" spans="1:9" ht="28.5" x14ac:dyDescent="0.25">
      <c r="A41" s="15" t="s">
        <v>383</v>
      </c>
      <c r="B41" s="15" t="s">
        <v>19</v>
      </c>
      <c r="C41" s="16" t="s">
        <v>90</v>
      </c>
      <c r="D41" s="17" t="s">
        <v>91</v>
      </c>
      <c r="E41" s="15" t="s">
        <v>13</v>
      </c>
      <c r="F41" s="18">
        <f>F34*35%</f>
        <v>20.86</v>
      </c>
      <c r="G41" s="5">
        <v>3.41</v>
      </c>
      <c r="H41" s="5">
        <f t="shared" si="2"/>
        <v>71.132599999999996</v>
      </c>
    </row>
    <row r="42" spans="1:9" x14ac:dyDescent="0.25">
      <c r="A42" s="15" t="s">
        <v>384</v>
      </c>
      <c r="B42" s="15" t="s">
        <v>19</v>
      </c>
      <c r="C42" s="16" t="s">
        <v>79</v>
      </c>
      <c r="D42" s="17" t="s">
        <v>80</v>
      </c>
      <c r="E42" s="15" t="s">
        <v>13</v>
      </c>
      <c r="F42" s="18">
        <f>F41</f>
        <v>20.86</v>
      </c>
      <c r="G42" s="5">
        <v>9.9600000000000009</v>
      </c>
      <c r="H42" s="5">
        <f t="shared" si="2"/>
        <v>207.76560000000001</v>
      </c>
    </row>
    <row r="43" spans="1:9" ht="28.5" x14ac:dyDescent="0.25">
      <c r="A43" s="15" t="s">
        <v>385</v>
      </c>
      <c r="B43" s="15" t="s">
        <v>19</v>
      </c>
      <c r="C43" s="16" t="s">
        <v>65</v>
      </c>
      <c r="D43" s="17" t="s">
        <v>81</v>
      </c>
      <c r="E43" s="15" t="s">
        <v>13</v>
      </c>
      <c r="F43" s="18">
        <f>F41</f>
        <v>20.86</v>
      </c>
      <c r="G43" s="5">
        <v>9.4499999999999993</v>
      </c>
      <c r="H43" s="5">
        <f t="shared" si="2"/>
        <v>197.12699999999998</v>
      </c>
    </row>
    <row r="44" spans="1:9" ht="28.5" x14ac:dyDescent="0.25">
      <c r="A44" s="15" t="s">
        <v>386</v>
      </c>
      <c r="B44" s="15" t="s">
        <v>19</v>
      </c>
      <c r="C44" s="16" t="s">
        <v>92</v>
      </c>
      <c r="D44" s="17" t="s">
        <v>93</v>
      </c>
      <c r="E44" s="15" t="s">
        <v>13</v>
      </c>
      <c r="F44" s="18">
        <f>F43</f>
        <v>20.86</v>
      </c>
      <c r="G44" s="5">
        <v>69.83</v>
      </c>
      <c r="H44" s="5">
        <f t="shared" si="2"/>
        <v>1456.6537999999998</v>
      </c>
    </row>
    <row r="45" spans="1:9" ht="28.5" x14ac:dyDescent="0.25">
      <c r="A45" s="15" t="s">
        <v>387</v>
      </c>
      <c r="B45" s="15" t="s">
        <v>19</v>
      </c>
      <c r="C45" s="16" t="s">
        <v>94</v>
      </c>
      <c r="D45" s="17" t="s">
        <v>95</v>
      </c>
      <c r="E45" s="15" t="s">
        <v>34</v>
      </c>
      <c r="F45" s="18">
        <f>F44*0.05</f>
        <v>1.0429999999999999</v>
      </c>
      <c r="G45" s="5">
        <v>11407.46</v>
      </c>
      <c r="H45" s="5">
        <f t="shared" si="2"/>
        <v>11897.980779999998</v>
      </c>
    </row>
    <row r="46" spans="1:9" ht="28.5" x14ac:dyDescent="0.25">
      <c r="A46" s="15" t="s">
        <v>388</v>
      </c>
      <c r="B46" s="15" t="s">
        <v>19</v>
      </c>
      <c r="C46" s="16" t="s">
        <v>96</v>
      </c>
      <c r="D46" s="17" t="s">
        <v>97</v>
      </c>
      <c r="E46" s="15" t="s">
        <v>34</v>
      </c>
      <c r="F46" s="18">
        <f>F32*0.08</f>
        <v>14.604800000000001</v>
      </c>
      <c r="G46" s="5">
        <v>830.97</v>
      </c>
      <c r="H46" s="5">
        <f t="shared" si="2"/>
        <v>12136.150656000002</v>
      </c>
    </row>
    <row r="47" spans="1:9" ht="44.25" customHeight="1" x14ac:dyDescent="0.25">
      <c r="A47" s="15" t="s">
        <v>389</v>
      </c>
      <c r="B47" s="15" t="s">
        <v>19</v>
      </c>
      <c r="C47" s="16" t="s">
        <v>103</v>
      </c>
      <c r="D47" s="17" t="s">
        <v>102</v>
      </c>
      <c r="E47" s="15" t="s">
        <v>13</v>
      </c>
      <c r="F47" s="18">
        <f>F32</f>
        <v>182.56</v>
      </c>
      <c r="G47" s="5">
        <v>102.23</v>
      </c>
      <c r="H47" s="5">
        <f t="shared" si="2"/>
        <v>18663.108800000002</v>
      </c>
      <c r="I47" s="28"/>
    </row>
    <row r="48" spans="1:9" ht="44.25" customHeight="1" x14ac:dyDescent="0.25">
      <c r="A48" s="15" t="s">
        <v>390</v>
      </c>
      <c r="B48" s="15" t="s">
        <v>19</v>
      </c>
      <c r="C48" s="16" t="s">
        <v>162</v>
      </c>
      <c r="D48" s="17" t="s">
        <v>164</v>
      </c>
      <c r="E48" s="15" t="s">
        <v>13</v>
      </c>
      <c r="F48" s="18">
        <f>F47*70%</f>
        <v>127.79199999999999</v>
      </c>
      <c r="G48" s="5">
        <v>105.59</v>
      </c>
      <c r="H48" s="5">
        <f t="shared" si="2"/>
        <v>13493.557279999999</v>
      </c>
      <c r="I48" s="28"/>
    </row>
    <row r="49" spans="1:9" ht="45" customHeight="1" x14ac:dyDescent="0.25">
      <c r="A49" s="15" t="s">
        <v>391</v>
      </c>
      <c r="B49" s="15" t="s">
        <v>19</v>
      </c>
      <c r="C49" s="16" t="s">
        <v>163</v>
      </c>
      <c r="D49" s="17" t="s">
        <v>165</v>
      </c>
      <c r="E49" s="15" t="s">
        <v>13</v>
      </c>
      <c r="F49" s="18">
        <f>F47</f>
        <v>182.56</v>
      </c>
      <c r="G49" s="5">
        <v>16.61</v>
      </c>
      <c r="H49" s="5">
        <f t="shared" si="2"/>
        <v>3032.3215999999998</v>
      </c>
      <c r="I49" s="28"/>
    </row>
    <row r="50" spans="1:9" ht="15" x14ac:dyDescent="0.25">
      <c r="A50" s="15" t="s">
        <v>392</v>
      </c>
      <c r="B50" s="15" t="s">
        <v>19</v>
      </c>
      <c r="C50" s="16" t="s">
        <v>166</v>
      </c>
      <c r="D50" s="17" t="s">
        <v>167</v>
      </c>
      <c r="E50" s="15" t="s">
        <v>13</v>
      </c>
      <c r="F50" s="18">
        <f>'QUADRO ÁREAS'!B3</f>
        <v>182.56</v>
      </c>
      <c r="G50" s="5">
        <v>37.21</v>
      </c>
      <c r="H50" s="5">
        <f t="shared" si="2"/>
        <v>6793.0576000000001</v>
      </c>
      <c r="I50" s="28"/>
    </row>
    <row r="51" spans="1:9" s="14" customFormat="1" ht="15" x14ac:dyDescent="0.25">
      <c r="A51" s="10">
        <v>4</v>
      </c>
      <c r="B51" s="10"/>
      <c r="C51" s="11"/>
      <c r="D51" s="12" t="s">
        <v>198</v>
      </c>
      <c r="E51" s="10"/>
      <c r="F51" s="13"/>
      <c r="G51" s="3"/>
      <c r="H51" s="3">
        <f>SUM(H52,H59)</f>
        <v>256662.53379999998</v>
      </c>
      <c r="I51" s="28"/>
    </row>
    <row r="52" spans="1:9" ht="15" x14ac:dyDescent="0.25">
      <c r="A52" s="19" t="s">
        <v>111</v>
      </c>
      <c r="B52" s="19"/>
      <c r="C52" s="20"/>
      <c r="D52" s="21" t="s">
        <v>118</v>
      </c>
      <c r="E52" s="19"/>
      <c r="F52" s="22"/>
      <c r="G52" s="4"/>
      <c r="H52" s="4">
        <f>SUM(H53:H58)</f>
        <v>39020.005759999993</v>
      </c>
      <c r="I52" s="28"/>
    </row>
    <row r="53" spans="1:9" s="40" customFormat="1" x14ac:dyDescent="0.25">
      <c r="A53" s="36" t="s">
        <v>20</v>
      </c>
      <c r="B53" s="62" t="s">
        <v>19</v>
      </c>
      <c r="C53" s="62" t="s">
        <v>119</v>
      </c>
      <c r="D53" s="17" t="s">
        <v>120</v>
      </c>
      <c r="E53" s="63" t="s">
        <v>28</v>
      </c>
      <c r="F53" s="38">
        <f>((29.99+40.25)*2)*40%</f>
        <v>56.192</v>
      </c>
      <c r="G53" s="39">
        <v>22.33</v>
      </c>
      <c r="H53" s="39">
        <f t="shared" ref="H53:H55" si="3">F53*G53</f>
        <v>1254.7673599999998</v>
      </c>
    </row>
    <row r="54" spans="1:9" s="40" customFormat="1" ht="28.5" x14ac:dyDescent="0.25">
      <c r="A54" s="36" t="s">
        <v>21</v>
      </c>
      <c r="B54" s="62" t="s">
        <v>19</v>
      </c>
      <c r="C54" s="62" t="s">
        <v>65</v>
      </c>
      <c r="D54" s="17" t="s">
        <v>121</v>
      </c>
      <c r="E54" s="63" t="s">
        <v>13</v>
      </c>
      <c r="F54" s="38">
        <f>'QUADRO ÁREAS'!B8</f>
        <v>407.39199999999994</v>
      </c>
      <c r="G54" s="39">
        <v>9.4499999999999993</v>
      </c>
      <c r="H54" s="39">
        <f t="shared" si="3"/>
        <v>3849.8543999999993</v>
      </c>
    </row>
    <row r="55" spans="1:9" s="40" customFormat="1" ht="42.75" x14ac:dyDescent="0.25">
      <c r="A55" s="36" t="s">
        <v>22</v>
      </c>
      <c r="B55" s="62" t="s">
        <v>19</v>
      </c>
      <c r="C55" s="62" t="s">
        <v>122</v>
      </c>
      <c r="D55" s="17" t="s">
        <v>123</v>
      </c>
      <c r="E55" s="63" t="s">
        <v>34</v>
      </c>
      <c r="F55" s="38">
        <f>(F54*0.25)*40%</f>
        <v>40.739199999999997</v>
      </c>
      <c r="G55" s="39">
        <v>90.84</v>
      </c>
      <c r="H55" s="39">
        <f t="shared" si="3"/>
        <v>3700.748928</v>
      </c>
    </row>
    <row r="56" spans="1:9" s="40" customFormat="1" x14ac:dyDescent="0.25">
      <c r="A56" s="36" t="s">
        <v>23</v>
      </c>
      <c r="B56" s="62" t="s">
        <v>19</v>
      </c>
      <c r="C56" s="62" t="s">
        <v>150</v>
      </c>
      <c r="D56" s="17" t="s">
        <v>169</v>
      </c>
      <c r="E56" s="63" t="s">
        <v>13</v>
      </c>
      <c r="F56" s="38">
        <f>F54*40%</f>
        <v>162.95679999999999</v>
      </c>
      <c r="G56" s="39">
        <f>COMPOSIÇÕES!F2</f>
        <v>80.94</v>
      </c>
      <c r="H56" s="39">
        <f t="shared" ref="H56:H58" si="4">F56*G56</f>
        <v>13189.723391999998</v>
      </c>
    </row>
    <row r="57" spans="1:9" s="40" customFormat="1" ht="28.5" x14ac:dyDescent="0.25">
      <c r="A57" s="36" t="s">
        <v>393</v>
      </c>
      <c r="B57" s="62" t="s">
        <v>19</v>
      </c>
      <c r="C57" s="62" t="s">
        <v>65</v>
      </c>
      <c r="D57" s="17" t="s">
        <v>137</v>
      </c>
      <c r="E57" s="63" t="s">
        <v>13</v>
      </c>
      <c r="F57" s="38">
        <f>F54</f>
        <v>407.39199999999994</v>
      </c>
      <c r="G57" s="39">
        <v>9.4499999999999993</v>
      </c>
      <c r="H57" s="39">
        <f t="shared" si="4"/>
        <v>3849.8543999999993</v>
      </c>
    </row>
    <row r="58" spans="1:9" s="40" customFormat="1" x14ac:dyDescent="0.25">
      <c r="A58" s="36" t="s">
        <v>394</v>
      </c>
      <c r="B58" s="62" t="s">
        <v>19</v>
      </c>
      <c r="C58" s="62" t="s">
        <v>43</v>
      </c>
      <c r="D58" s="17" t="s">
        <v>138</v>
      </c>
      <c r="E58" s="63" t="s">
        <v>13</v>
      </c>
      <c r="F58" s="38">
        <f>F54</f>
        <v>407.39199999999994</v>
      </c>
      <c r="G58" s="39">
        <v>32.340000000000003</v>
      </c>
      <c r="H58" s="39">
        <f t="shared" si="4"/>
        <v>13175.057279999999</v>
      </c>
    </row>
    <row r="59" spans="1:9" ht="15" x14ac:dyDescent="0.25">
      <c r="A59" s="19" t="s">
        <v>112</v>
      </c>
      <c r="B59" s="19"/>
      <c r="C59" s="20"/>
      <c r="D59" s="21" t="s">
        <v>197</v>
      </c>
      <c r="E59" s="19"/>
      <c r="F59" s="22"/>
      <c r="G59" s="4"/>
      <c r="H59" s="4">
        <f>SUM(H60:H64)</f>
        <v>217642.52803999998</v>
      </c>
      <c r="I59" s="28"/>
    </row>
    <row r="60" spans="1:9" s="40" customFormat="1" ht="28.5" x14ac:dyDescent="0.25">
      <c r="A60" s="36" t="s">
        <v>113</v>
      </c>
      <c r="B60" s="62" t="s">
        <v>19</v>
      </c>
      <c r="C60" s="64" t="s">
        <v>139</v>
      </c>
      <c r="D60" s="17" t="s">
        <v>140</v>
      </c>
      <c r="E60" s="65" t="s">
        <v>13</v>
      </c>
      <c r="F60" s="38">
        <f>'QUADRO ÁREAS'!B9</f>
        <v>1579.34</v>
      </c>
      <c r="G60" s="39">
        <v>14.57</v>
      </c>
      <c r="H60" s="39">
        <f t="shared" ref="H60:H62" si="5">F60*G60</f>
        <v>23010.983799999998</v>
      </c>
    </row>
    <row r="61" spans="1:9" s="40" customFormat="1" x14ac:dyDescent="0.25">
      <c r="A61" s="36" t="s">
        <v>114</v>
      </c>
      <c r="B61" s="62" t="s">
        <v>19</v>
      </c>
      <c r="C61" s="64" t="s">
        <v>65</v>
      </c>
      <c r="D61" s="17" t="s">
        <v>141</v>
      </c>
      <c r="E61" s="65" t="s">
        <v>13</v>
      </c>
      <c r="F61" s="38">
        <f>F60</f>
        <v>1579.34</v>
      </c>
      <c r="G61" s="39">
        <v>9.4499999999999993</v>
      </c>
      <c r="H61" s="39">
        <f t="shared" si="5"/>
        <v>14924.762999999999</v>
      </c>
    </row>
    <row r="62" spans="1:9" s="40" customFormat="1" ht="28.5" x14ac:dyDescent="0.25">
      <c r="A62" s="36" t="s">
        <v>115</v>
      </c>
      <c r="B62" s="62" t="s">
        <v>19</v>
      </c>
      <c r="C62" s="62" t="s">
        <v>897</v>
      </c>
      <c r="D62" s="17" t="s">
        <v>142</v>
      </c>
      <c r="E62" s="65" t="s">
        <v>13</v>
      </c>
      <c r="F62" s="38">
        <f>F60*40%</f>
        <v>631.73599999999999</v>
      </c>
      <c r="G62" s="39">
        <v>22</v>
      </c>
      <c r="H62" s="39">
        <f t="shared" si="5"/>
        <v>13898.191999999999</v>
      </c>
    </row>
    <row r="63" spans="1:9" s="40" customFormat="1" x14ac:dyDescent="0.25">
      <c r="A63" s="36" t="s">
        <v>116</v>
      </c>
      <c r="B63" s="62" t="s">
        <v>19</v>
      </c>
      <c r="C63" s="62" t="s">
        <v>150</v>
      </c>
      <c r="D63" s="17" t="s">
        <v>169</v>
      </c>
      <c r="E63" s="63" t="s">
        <v>13</v>
      </c>
      <c r="F63" s="38">
        <f>F62</f>
        <v>631.73599999999999</v>
      </c>
      <c r="G63" s="39">
        <f>COMPOSIÇÕES!F2</f>
        <v>80.94</v>
      </c>
      <c r="H63" s="39">
        <f t="shared" ref="H63:H64" si="6">F63*G63</f>
        <v>51132.711839999996</v>
      </c>
    </row>
    <row r="64" spans="1:9" s="40" customFormat="1" x14ac:dyDescent="0.25">
      <c r="A64" s="36" t="s">
        <v>117</v>
      </c>
      <c r="B64" s="62" t="s">
        <v>19</v>
      </c>
      <c r="C64" s="62" t="s">
        <v>158</v>
      </c>
      <c r="D64" s="17" t="s">
        <v>878</v>
      </c>
      <c r="E64" s="63" t="s">
        <v>13</v>
      </c>
      <c r="F64" s="38">
        <f>F60</f>
        <v>1579.34</v>
      </c>
      <c r="G64" s="39">
        <f>COMPOSIÇÕES!F15</f>
        <v>72.61</v>
      </c>
      <c r="H64" s="39">
        <f t="shared" si="6"/>
        <v>114675.8774</v>
      </c>
    </row>
    <row r="65" spans="1:9" s="14" customFormat="1" ht="15" x14ac:dyDescent="0.25">
      <c r="A65" s="10">
        <v>5</v>
      </c>
      <c r="B65" s="10"/>
      <c r="C65" s="11"/>
      <c r="D65" s="12" t="s">
        <v>199</v>
      </c>
      <c r="E65" s="10"/>
      <c r="F65" s="13"/>
      <c r="G65" s="3"/>
      <c r="H65" s="3">
        <f>H66+H75+H78+H82</f>
        <v>107716.26922649999</v>
      </c>
      <c r="I65" s="28"/>
    </row>
    <row r="66" spans="1:9" ht="15" x14ac:dyDescent="0.25">
      <c r="A66" s="19" t="s">
        <v>177</v>
      </c>
      <c r="B66" s="19"/>
      <c r="C66" s="20"/>
      <c r="D66" s="21" t="s">
        <v>200</v>
      </c>
      <c r="E66" s="19"/>
      <c r="F66" s="22"/>
      <c r="G66" s="4"/>
      <c r="H66" s="4">
        <f>SUM(H67:H74)</f>
        <v>79243.113466499999</v>
      </c>
      <c r="I66" s="28"/>
    </row>
    <row r="67" spans="1:9" s="40" customFormat="1" x14ac:dyDescent="0.25">
      <c r="A67" s="36" t="s">
        <v>898</v>
      </c>
      <c r="B67" s="62" t="s">
        <v>19</v>
      </c>
      <c r="C67" s="62" t="s">
        <v>171</v>
      </c>
      <c r="D67" s="17" t="s">
        <v>170</v>
      </c>
      <c r="E67" s="65" t="s">
        <v>13</v>
      </c>
      <c r="F67" s="38">
        <f>F70</f>
        <v>19.3</v>
      </c>
      <c r="G67" s="39">
        <v>13.63</v>
      </c>
      <c r="H67" s="39">
        <f>F67*G67</f>
        <v>263.05900000000003</v>
      </c>
    </row>
    <row r="68" spans="1:9" s="40" customFormat="1" x14ac:dyDescent="0.25">
      <c r="A68" s="36" t="s">
        <v>899</v>
      </c>
      <c r="B68" s="62" t="s">
        <v>19</v>
      </c>
      <c r="C68" s="62" t="s">
        <v>204</v>
      </c>
      <c r="D68" s="17" t="s">
        <v>201</v>
      </c>
      <c r="E68" s="65" t="s">
        <v>13</v>
      </c>
      <c r="F68" s="38">
        <v>19.3</v>
      </c>
      <c r="G68" s="39">
        <v>51.21</v>
      </c>
      <c r="H68" s="39">
        <f t="shared" ref="H68:H81" si="7">F68*G68</f>
        <v>988.35300000000007</v>
      </c>
    </row>
    <row r="69" spans="1:9" s="40" customFormat="1" x14ac:dyDescent="0.25">
      <c r="A69" s="36" t="s">
        <v>900</v>
      </c>
      <c r="B69" s="62" t="s">
        <v>19</v>
      </c>
      <c r="C69" s="62" t="s">
        <v>205</v>
      </c>
      <c r="D69" s="17" t="s">
        <v>202</v>
      </c>
      <c r="E69" s="65" t="s">
        <v>28</v>
      </c>
      <c r="F69" s="38">
        <f>4.69*4</f>
        <v>18.760000000000002</v>
      </c>
      <c r="G69" s="39">
        <v>13.28</v>
      </c>
      <c r="H69" s="39">
        <f t="shared" si="7"/>
        <v>249.1328</v>
      </c>
    </row>
    <row r="70" spans="1:9" s="40" customFormat="1" x14ac:dyDescent="0.25">
      <c r="A70" s="36" t="s">
        <v>901</v>
      </c>
      <c r="B70" s="62" t="s">
        <v>19</v>
      </c>
      <c r="C70" s="62" t="s">
        <v>176</v>
      </c>
      <c r="D70" s="17" t="s">
        <v>175</v>
      </c>
      <c r="E70" s="65" t="s">
        <v>13</v>
      </c>
      <c r="F70" s="38">
        <f>F68</f>
        <v>19.3</v>
      </c>
      <c r="G70" s="39">
        <v>165.47</v>
      </c>
      <c r="H70" s="39">
        <f t="shared" si="7"/>
        <v>3193.5709999999999</v>
      </c>
    </row>
    <row r="71" spans="1:9" s="40" customFormat="1" x14ac:dyDescent="0.25">
      <c r="A71" s="36" t="s">
        <v>902</v>
      </c>
      <c r="B71" s="62" t="s">
        <v>19</v>
      </c>
      <c r="C71" s="62" t="s">
        <v>96</v>
      </c>
      <c r="D71" s="17" t="s">
        <v>203</v>
      </c>
      <c r="E71" s="65" t="s">
        <v>34</v>
      </c>
      <c r="F71" s="38">
        <f>(108.83+(13.49+8.9+9.65+6.65+23.2+22.59)+(14.83+22.8+10.88+17.96+6.33+50.16))*0.035</f>
        <v>11.06945</v>
      </c>
      <c r="G71" s="39">
        <v>830.97</v>
      </c>
      <c r="H71" s="39">
        <f t="shared" ref="H71" si="8">F71*G71</f>
        <v>9198.3808664999997</v>
      </c>
    </row>
    <row r="72" spans="1:9" s="40" customFormat="1" x14ac:dyDescent="0.25">
      <c r="A72" s="36" t="s">
        <v>903</v>
      </c>
      <c r="B72" s="62" t="s">
        <v>19</v>
      </c>
      <c r="C72" s="62" t="s">
        <v>172</v>
      </c>
      <c r="D72" s="17" t="s">
        <v>206</v>
      </c>
      <c r="E72" s="65" t="s">
        <v>13</v>
      </c>
      <c r="F72" s="38">
        <v>108.83</v>
      </c>
      <c r="G72" s="39">
        <v>415.49</v>
      </c>
      <c r="H72" s="39">
        <f t="shared" si="7"/>
        <v>45217.776700000002</v>
      </c>
    </row>
    <row r="73" spans="1:9" s="40" customFormat="1" x14ac:dyDescent="0.25">
      <c r="A73" s="36" t="s">
        <v>904</v>
      </c>
      <c r="B73" s="62" t="s">
        <v>19</v>
      </c>
      <c r="C73" s="62" t="s">
        <v>174</v>
      </c>
      <c r="D73" s="17" t="s">
        <v>173</v>
      </c>
      <c r="E73" s="65" t="s">
        <v>28</v>
      </c>
      <c r="F73" s="38">
        <v>46</v>
      </c>
      <c r="G73" s="39">
        <v>46.19</v>
      </c>
      <c r="H73" s="39">
        <f t="shared" si="7"/>
        <v>2124.7399999999998</v>
      </c>
    </row>
    <row r="74" spans="1:9" s="40" customFormat="1" x14ac:dyDescent="0.25">
      <c r="A74" s="36" t="s">
        <v>905</v>
      </c>
      <c r="B74" s="62" t="s">
        <v>19</v>
      </c>
      <c r="C74" s="62" t="s">
        <v>176</v>
      </c>
      <c r="D74" s="17" t="s">
        <v>175</v>
      </c>
      <c r="E74" s="65" t="s">
        <v>13</v>
      </c>
      <c r="F74" s="38">
        <f>F72</f>
        <v>108.83</v>
      </c>
      <c r="G74" s="39">
        <v>165.47</v>
      </c>
      <c r="H74" s="39">
        <f t="shared" si="7"/>
        <v>18008.1001</v>
      </c>
    </row>
    <row r="75" spans="1:9" ht="15" x14ac:dyDescent="0.25">
      <c r="A75" s="19" t="s">
        <v>178</v>
      </c>
      <c r="B75" s="19"/>
      <c r="C75" s="20"/>
      <c r="D75" s="21" t="s">
        <v>207</v>
      </c>
      <c r="E75" s="19"/>
      <c r="F75" s="22"/>
      <c r="G75" s="4"/>
      <c r="H75" s="4">
        <f>SUM(H76:H77)</f>
        <v>6221.2768000000005</v>
      </c>
      <c r="I75" s="28"/>
    </row>
    <row r="76" spans="1:9" s="40" customFormat="1" ht="28.5" x14ac:dyDescent="0.25">
      <c r="A76" s="36" t="s">
        <v>906</v>
      </c>
      <c r="B76" s="62" t="s">
        <v>19</v>
      </c>
      <c r="C76" s="62" t="s">
        <v>187</v>
      </c>
      <c r="D76" s="17" t="s">
        <v>186</v>
      </c>
      <c r="E76" s="65" t="s">
        <v>13</v>
      </c>
      <c r="F76" s="38">
        <f>'QUADRO ÁREAS'!M57+'QUADRO ÁREAS'!M61+'QUADRO ÁREAS'!M64</f>
        <v>163.98</v>
      </c>
      <c r="G76" s="39">
        <v>6.69</v>
      </c>
      <c r="H76" s="39">
        <f t="shared" si="7"/>
        <v>1097.0262</v>
      </c>
    </row>
    <row r="77" spans="1:9" s="40" customFormat="1" ht="42.75" x14ac:dyDescent="0.25">
      <c r="A77" s="36" t="s">
        <v>907</v>
      </c>
      <c r="B77" s="62" t="s">
        <v>19</v>
      </c>
      <c r="C77" s="62" t="s">
        <v>188</v>
      </c>
      <c r="D77" s="17" t="s">
        <v>189</v>
      </c>
      <c r="E77" s="65" t="s">
        <v>13</v>
      </c>
      <c r="F77" s="38">
        <f>'QUADRO ÁREAS'!M58</f>
        <v>25.27</v>
      </c>
      <c r="G77" s="39">
        <v>202.78</v>
      </c>
      <c r="H77" s="39">
        <f t="shared" si="7"/>
        <v>5124.2506000000003</v>
      </c>
    </row>
    <row r="78" spans="1:9" ht="15" x14ac:dyDescent="0.25">
      <c r="A78" s="19" t="s">
        <v>395</v>
      </c>
      <c r="B78" s="19"/>
      <c r="C78" s="20"/>
      <c r="D78" s="21" t="s">
        <v>210</v>
      </c>
      <c r="E78" s="19"/>
      <c r="F78" s="22"/>
      <c r="G78" s="4"/>
      <c r="H78" s="4">
        <f>SUM(H79:H81)</f>
        <v>6212.1857600000003</v>
      </c>
      <c r="I78" s="28"/>
    </row>
    <row r="79" spans="1:9" s="40" customFormat="1" ht="28.5" x14ac:dyDescent="0.25">
      <c r="A79" s="36" t="s">
        <v>908</v>
      </c>
      <c r="B79" s="62" t="s">
        <v>19</v>
      </c>
      <c r="C79" s="62" t="s">
        <v>187</v>
      </c>
      <c r="D79" s="17" t="s">
        <v>186</v>
      </c>
      <c r="E79" s="65" t="s">
        <v>13</v>
      </c>
      <c r="F79" s="38">
        <f>'QUADRO ÁREAS'!M60</f>
        <v>78.320000000000007</v>
      </c>
      <c r="G79" s="39">
        <v>6.69</v>
      </c>
      <c r="H79" s="39">
        <f t="shared" si="7"/>
        <v>523.96080000000006</v>
      </c>
    </row>
    <row r="80" spans="1:9" s="40" customFormat="1" ht="28.5" x14ac:dyDescent="0.25">
      <c r="A80" s="36" t="s">
        <v>909</v>
      </c>
      <c r="B80" s="62" t="s">
        <v>19</v>
      </c>
      <c r="C80" s="62" t="s">
        <v>664</v>
      </c>
      <c r="D80" s="17" t="s">
        <v>663</v>
      </c>
      <c r="E80" s="65" t="s">
        <v>13</v>
      </c>
      <c r="F80" s="38">
        <f>F79*20%</f>
        <v>15.664000000000001</v>
      </c>
      <c r="G80" s="39">
        <v>70.64</v>
      </c>
      <c r="H80" s="39">
        <f t="shared" si="7"/>
        <v>1106.5049600000002</v>
      </c>
    </row>
    <row r="81" spans="1:9" s="40" customFormat="1" ht="28.5" x14ac:dyDescent="0.25">
      <c r="A81" s="36" t="s">
        <v>910</v>
      </c>
      <c r="B81" s="62" t="s">
        <v>19</v>
      </c>
      <c r="C81" s="62" t="s">
        <v>214</v>
      </c>
      <c r="D81" s="17" t="s">
        <v>213</v>
      </c>
      <c r="E81" s="65" t="s">
        <v>13</v>
      </c>
      <c r="F81" s="38">
        <f>F79</f>
        <v>78.320000000000007</v>
      </c>
      <c r="G81" s="39">
        <v>58.5</v>
      </c>
      <c r="H81" s="39">
        <f t="shared" si="7"/>
        <v>4581.72</v>
      </c>
    </row>
    <row r="82" spans="1:9" ht="15" x14ac:dyDescent="0.25">
      <c r="A82" s="19" t="s">
        <v>396</v>
      </c>
      <c r="B82" s="19"/>
      <c r="C82" s="20"/>
      <c r="D82" s="21" t="s">
        <v>211</v>
      </c>
      <c r="E82" s="19"/>
      <c r="F82" s="22"/>
      <c r="G82" s="4"/>
      <c r="H82" s="4">
        <f>SUM(H83:H85)</f>
        <v>16039.6932</v>
      </c>
      <c r="I82" s="28"/>
    </row>
    <row r="83" spans="1:9" s="40" customFormat="1" ht="28.5" x14ac:dyDescent="0.25">
      <c r="A83" s="36" t="s">
        <v>911</v>
      </c>
      <c r="B83" s="62" t="s">
        <v>19</v>
      </c>
      <c r="C83" s="62" t="s">
        <v>187</v>
      </c>
      <c r="D83" s="17" t="s">
        <v>186</v>
      </c>
      <c r="E83" s="65" t="s">
        <v>13</v>
      </c>
      <c r="F83" s="38">
        <f>'QUADRO ÁREAS'!M55+'QUADRO ÁREAS'!M62+'QUADRO ÁREAS'!M63+'QUADRO ÁREAS'!M65</f>
        <v>217.48</v>
      </c>
      <c r="G83" s="39">
        <v>6.69</v>
      </c>
      <c r="H83" s="39">
        <f t="shared" ref="H83:H85" si="9">F83*G83</f>
        <v>1454.9412</v>
      </c>
    </row>
    <row r="84" spans="1:9" s="40" customFormat="1" ht="42.75" x14ac:dyDescent="0.25">
      <c r="A84" s="36" t="s">
        <v>912</v>
      </c>
      <c r="B84" s="62" t="s">
        <v>19</v>
      </c>
      <c r="C84" s="62" t="s">
        <v>666</v>
      </c>
      <c r="D84" s="17" t="s">
        <v>665</v>
      </c>
      <c r="E84" s="65" t="s">
        <v>13</v>
      </c>
      <c r="F84" s="38">
        <f>'QUADRO ÁREAS'!M56</f>
        <v>11.96</v>
      </c>
      <c r="G84" s="39">
        <v>97.2</v>
      </c>
      <c r="H84" s="39">
        <f t="shared" si="9"/>
        <v>1162.5120000000002</v>
      </c>
    </row>
    <row r="85" spans="1:9" s="40" customFormat="1" ht="28.5" x14ac:dyDescent="0.25">
      <c r="A85" s="36" t="s">
        <v>913</v>
      </c>
      <c r="B85" s="62" t="s">
        <v>19</v>
      </c>
      <c r="C85" s="62" t="s">
        <v>214</v>
      </c>
      <c r="D85" s="17" t="s">
        <v>213</v>
      </c>
      <c r="E85" s="65" t="s">
        <v>13</v>
      </c>
      <c r="F85" s="38">
        <f>F83+F84</f>
        <v>229.44</v>
      </c>
      <c r="G85" s="39">
        <v>58.5</v>
      </c>
      <c r="H85" s="39">
        <f t="shared" si="9"/>
        <v>13422.24</v>
      </c>
    </row>
    <row r="86" spans="1:9" s="14" customFormat="1" ht="15" x14ac:dyDescent="0.25">
      <c r="A86" s="10">
        <v>6</v>
      </c>
      <c r="B86" s="10"/>
      <c r="C86" s="11"/>
      <c r="D86" s="12" t="s">
        <v>216</v>
      </c>
      <c r="E86" s="10"/>
      <c r="F86" s="13"/>
      <c r="G86" s="3"/>
      <c r="H86" s="3">
        <f>SUM(H87,H100)</f>
        <v>130519.28226400001</v>
      </c>
      <c r="I86" s="28"/>
    </row>
    <row r="87" spans="1:9" ht="15" x14ac:dyDescent="0.25">
      <c r="A87" s="19" t="s">
        <v>179</v>
      </c>
      <c r="B87" s="19"/>
      <c r="C87" s="20"/>
      <c r="D87" s="21" t="s">
        <v>215</v>
      </c>
      <c r="E87" s="19"/>
      <c r="F87" s="22"/>
      <c r="G87" s="4"/>
      <c r="H87" s="4">
        <f>SUM(H88:H99)</f>
        <v>24442.000759999999</v>
      </c>
      <c r="I87" s="28"/>
    </row>
    <row r="88" spans="1:9" s="40" customFormat="1" x14ac:dyDescent="0.25">
      <c r="A88" s="36" t="s">
        <v>397</v>
      </c>
      <c r="B88" s="62" t="s">
        <v>19</v>
      </c>
      <c r="C88" s="62" t="s">
        <v>421</v>
      </c>
      <c r="D88" s="17" t="s">
        <v>415</v>
      </c>
      <c r="E88" s="65" t="s">
        <v>13</v>
      </c>
      <c r="F88" s="38">
        <f>1.56*15</f>
        <v>23.400000000000002</v>
      </c>
      <c r="G88" s="39">
        <v>25.18</v>
      </c>
      <c r="H88" s="39">
        <f t="shared" ref="H88:H114" si="10">F88*G88</f>
        <v>589.2120000000001</v>
      </c>
    </row>
    <row r="89" spans="1:9" s="40" customFormat="1" x14ac:dyDescent="0.25">
      <c r="A89" s="36" t="s">
        <v>398</v>
      </c>
      <c r="B89" s="62" t="s">
        <v>19</v>
      </c>
      <c r="C89" s="62" t="s">
        <v>422</v>
      </c>
      <c r="D89" s="17" t="s">
        <v>416</v>
      </c>
      <c r="E89" s="65" t="s">
        <v>13</v>
      </c>
      <c r="F89" s="38">
        <f>F88*2</f>
        <v>46.800000000000004</v>
      </c>
      <c r="G89" s="39">
        <f>COMPOSIÇÕES!F26</f>
        <v>60.418500000000002</v>
      </c>
      <c r="H89" s="39">
        <f t="shared" si="10"/>
        <v>2827.5858000000003</v>
      </c>
    </row>
    <row r="90" spans="1:9" s="40" customFormat="1" x14ac:dyDescent="0.25">
      <c r="A90" s="36" t="s">
        <v>399</v>
      </c>
      <c r="B90" s="62" t="s">
        <v>19</v>
      </c>
      <c r="C90" s="62" t="s">
        <v>423</v>
      </c>
      <c r="D90" s="17" t="s">
        <v>417</v>
      </c>
      <c r="E90" s="65" t="s">
        <v>13</v>
      </c>
      <c r="F90" s="38">
        <f>F89</f>
        <v>46.800000000000004</v>
      </c>
      <c r="G90" s="39">
        <f>COMPOSIÇÕES!F33</f>
        <v>19.318999999999999</v>
      </c>
      <c r="H90" s="39">
        <f t="shared" si="10"/>
        <v>904.12920000000008</v>
      </c>
    </row>
    <row r="91" spans="1:9" s="40" customFormat="1" ht="28.5" x14ac:dyDescent="0.25">
      <c r="A91" s="36" t="s">
        <v>400</v>
      </c>
      <c r="B91" s="62" t="s">
        <v>19</v>
      </c>
      <c r="C91" s="62" t="s">
        <v>424</v>
      </c>
      <c r="D91" s="17" t="s">
        <v>418</v>
      </c>
      <c r="E91" s="65" t="s">
        <v>13</v>
      </c>
      <c r="F91" s="38">
        <f>F90</f>
        <v>46.800000000000004</v>
      </c>
      <c r="G91" s="39">
        <v>10.33</v>
      </c>
      <c r="H91" s="39">
        <f t="shared" si="10"/>
        <v>483.44400000000007</v>
      </c>
    </row>
    <row r="92" spans="1:9" s="40" customFormat="1" x14ac:dyDescent="0.25">
      <c r="A92" s="36" t="s">
        <v>401</v>
      </c>
      <c r="B92" s="62" t="s">
        <v>19</v>
      </c>
      <c r="C92" s="62" t="s">
        <v>425</v>
      </c>
      <c r="D92" s="17" t="s">
        <v>419</v>
      </c>
      <c r="E92" s="65" t="s">
        <v>13</v>
      </c>
      <c r="F92" s="38">
        <f>F91</f>
        <v>46.800000000000004</v>
      </c>
      <c r="G92" s="39">
        <f>COMPOSIÇÕES!F37</f>
        <v>161.23519999999996</v>
      </c>
      <c r="H92" s="39">
        <f t="shared" si="10"/>
        <v>7545.8073599999989</v>
      </c>
    </row>
    <row r="93" spans="1:9" s="40" customFormat="1" x14ac:dyDescent="0.25">
      <c r="A93" s="36" t="s">
        <v>402</v>
      </c>
      <c r="B93" s="62" t="s">
        <v>19</v>
      </c>
      <c r="C93" s="62" t="s">
        <v>426</v>
      </c>
      <c r="D93" s="17" t="s">
        <v>452</v>
      </c>
      <c r="E93" s="65" t="s">
        <v>13</v>
      </c>
      <c r="F93" s="38">
        <f>F92*20%</f>
        <v>9.3600000000000012</v>
      </c>
      <c r="G93" s="39">
        <v>196.34</v>
      </c>
      <c r="H93" s="39">
        <f t="shared" si="10"/>
        <v>1837.7424000000003</v>
      </c>
    </row>
    <row r="94" spans="1:9" s="40" customFormat="1" x14ac:dyDescent="0.25">
      <c r="A94" s="36" t="s">
        <v>403</v>
      </c>
      <c r="B94" s="62" t="s">
        <v>19</v>
      </c>
      <c r="C94" s="62" t="s">
        <v>454</v>
      </c>
      <c r="D94" s="17" t="s">
        <v>453</v>
      </c>
      <c r="E94" s="65" t="s">
        <v>28</v>
      </c>
      <c r="F94" s="38">
        <f>(5.1*2)*15</f>
        <v>153</v>
      </c>
      <c r="G94" s="39">
        <v>9.0399999999999991</v>
      </c>
      <c r="H94" s="39">
        <f t="shared" si="10"/>
        <v>1383.12</v>
      </c>
    </row>
    <row r="95" spans="1:9" s="40" customFormat="1" x14ac:dyDescent="0.25">
      <c r="A95" s="36" t="s">
        <v>404</v>
      </c>
      <c r="B95" s="62" t="s">
        <v>19</v>
      </c>
      <c r="C95" s="62" t="s">
        <v>42</v>
      </c>
      <c r="D95" s="17" t="s">
        <v>39</v>
      </c>
      <c r="E95" s="65" t="s">
        <v>13</v>
      </c>
      <c r="F95" s="38">
        <f>F90</f>
        <v>46.800000000000004</v>
      </c>
      <c r="G95" s="39">
        <v>17.07</v>
      </c>
      <c r="H95" s="39">
        <f t="shared" si="10"/>
        <v>798.87600000000009</v>
      </c>
    </row>
    <row r="96" spans="1:9" s="40" customFormat="1" x14ac:dyDescent="0.25">
      <c r="A96" s="36" t="s">
        <v>914</v>
      </c>
      <c r="B96" s="62" t="s">
        <v>19</v>
      </c>
      <c r="C96" s="62" t="s">
        <v>427</v>
      </c>
      <c r="D96" s="17" t="s">
        <v>420</v>
      </c>
      <c r="E96" s="65" t="s">
        <v>13</v>
      </c>
      <c r="F96" s="38">
        <f>F95</f>
        <v>46.800000000000004</v>
      </c>
      <c r="G96" s="39">
        <v>26.13</v>
      </c>
      <c r="H96" s="39">
        <f t="shared" si="10"/>
        <v>1222.884</v>
      </c>
    </row>
    <row r="97" spans="1:10" s="40" customFormat="1" ht="42.75" x14ac:dyDescent="0.25">
      <c r="A97" s="36" t="s">
        <v>915</v>
      </c>
      <c r="B97" s="62" t="s">
        <v>19</v>
      </c>
      <c r="C97" s="62" t="s">
        <v>428</v>
      </c>
      <c r="D97" s="17" t="s">
        <v>451</v>
      </c>
      <c r="E97" s="65" t="s">
        <v>330</v>
      </c>
      <c r="F97" s="38">
        <f>15</f>
        <v>15</v>
      </c>
      <c r="G97" s="39">
        <v>28.36</v>
      </c>
      <c r="H97" s="39">
        <f t="shared" si="10"/>
        <v>425.4</v>
      </c>
    </row>
    <row r="98" spans="1:10" s="40" customFormat="1" ht="28.5" x14ac:dyDescent="0.25">
      <c r="A98" s="36" t="s">
        <v>916</v>
      </c>
      <c r="B98" s="62" t="s">
        <v>19</v>
      </c>
      <c r="C98" s="62" t="s">
        <v>456</v>
      </c>
      <c r="D98" s="17" t="s">
        <v>455</v>
      </c>
      <c r="E98" s="65" t="s">
        <v>330</v>
      </c>
      <c r="F98" s="38">
        <v>12</v>
      </c>
      <c r="G98" s="39">
        <v>431.82</v>
      </c>
      <c r="H98" s="39">
        <f t="shared" si="10"/>
        <v>5181.84</v>
      </c>
    </row>
    <row r="99" spans="1:10" s="40" customFormat="1" ht="57" x14ac:dyDescent="0.25">
      <c r="A99" s="36" t="s">
        <v>917</v>
      </c>
      <c r="B99" s="62" t="s">
        <v>19</v>
      </c>
      <c r="C99" s="62" t="s">
        <v>458</v>
      </c>
      <c r="D99" s="17" t="s">
        <v>457</v>
      </c>
      <c r="E99" s="65" t="s">
        <v>15</v>
      </c>
      <c r="F99" s="38">
        <v>2</v>
      </c>
      <c r="G99" s="39">
        <v>620.98</v>
      </c>
      <c r="H99" s="39">
        <f t="shared" si="10"/>
        <v>1241.96</v>
      </c>
    </row>
    <row r="100" spans="1:10" ht="15" x14ac:dyDescent="0.25">
      <c r="A100" s="19" t="s">
        <v>180</v>
      </c>
      <c r="B100" s="19"/>
      <c r="C100" s="20"/>
      <c r="D100" s="21" t="s">
        <v>217</v>
      </c>
      <c r="E100" s="19"/>
      <c r="F100" s="22"/>
      <c r="G100" s="4"/>
      <c r="H100" s="4">
        <f>SUM(H101:H108)</f>
        <v>106077.28150400001</v>
      </c>
      <c r="I100" s="28"/>
    </row>
    <row r="101" spans="1:10" s="40" customFormat="1" x14ac:dyDescent="0.25">
      <c r="A101" s="36" t="s">
        <v>405</v>
      </c>
      <c r="B101" s="62" t="s">
        <v>19</v>
      </c>
      <c r="C101" s="62" t="s">
        <v>471</v>
      </c>
      <c r="D101" s="17" t="s">
        <v>220</v>
      </c>
      <c r="E101" s="65" t="s">
        <v>13</v>
      </c>
      <c r="F101" s="38">
        <f>(24.64*2.9)*2</f>
        <v>142.91200000000001</v>
      </c>
      <c r="G101" s="39">
        <v>35.25</v>
      </c>
      <c r="H101" s="39">
        <f t="shared" si="10"/>
        <v>5037.6480000000001</v>
      </c>
    </row>
    <row r="102" spans="1:10" s="40" customFormat="1" ht="28.5" x14ac:dyDescent="0.25">
      <c r="A102" s="36" t="s">
        <v>406</v>
      </c>
      <c r="B102" s="62" t="s">
        <v>19</v>
      </c>
      <c r="C102" s="62" t="s">
        <v>473</v>
      </c>
      <c r="D102" s="17" t="s">
        <v>472</v>
      </c>
      <c r="E102" s="65" t="s">
        <v>13</v>
      </c>
      <c r="F102" s="38">
        <f>(F101*2)+((1.61*8*2)+(2.4*3*2))</f>
        <v>325.98400000000004</v>
      </c>
      <c r="G102" s="39">
        <v>18.899999999999999</v>
      </c>
      <c r="H102" s="39">
        <f t="shared" si="10"/>
        <v>6161.0976000000001</v>
      </c>
    </row>
    <row r="103" spans="1:10" s="40" customFormat="1" ht="28.5" x14ac:dyDescent="0.25">
      <c r="A103" s="36" t="s">
        <v>918</v>
      </c>
      <c r="B103" s="62" t="s">
        <v>19</v>
      </c>
      <c r="C103" s="62" t="s">
        <v>476</v>
      </c>
      <c r="D103" s="17" t="s">
        <v>218</v>
      </c>
      <c r="E103" s="65" t="s">
        <v>13</v>
      </c>
      <c r="F103" s="38">
        <f>F102*40%</f>
        <v>130.39360000000002</v>
      </c>
      <c r="G103" s="39">
        <v>7.49</v>
      </c>
      <c r="H103" s="39">
        <f t="shared" si="10"/>
        <v>976.6480640000002</v>
      </c>
    </row>
    <row r="104" spans="1:10" s="40" customFormat="1" ht="28.5" x14ac:dyDescent="0.25">
      <c r="A104" s="36" t="s">
        <v>919</v>
      </c>
      <c r="B104" s="62" t="s">
        <v>19</v>
      </c>
      <c r="C104" s="62" t="s">
        <v>475</v>
      </c>
      <c r="D104" s="17" t="s">
        <v>219</v>
      </c>
      <c r="E104" s="65" t="s">
        <v>13</v>
      </c>
      <c r="F104" s="38">
        <f>F103</f>
        <v>130.39360000000002</v>
      </c>
      <c r="G104" s="39">
        <v>342</v>
      </c>
      <c r="H104" s="39">
        <f t="shared" si="10"/>
        <v>44594.611200000007</v>
      </c>
      <c r="I104" s="98"/>
      <c r="J104" s="98"/>
    </row>
    <row r="105" spans="1:10" s="40" customFormat="1" ht="28.5" x14ac:dyDescent="0.25">
      <c r="A105" s="36" t="s">
        <v>920</v>
      </c>
      <c r="B105" s="62" t="s">
        <v>19</v>
      </c>
      <c r="C105" s="62" t="s">
        <v>61</v>
      </c>
      <c r="D105" s="17" t="s">
        <v>60</v>
      </c>
      <c r="E105" s="65" t="s">
        <v>13</v>
      </c>
      <c r="F105" s="38">
        <f>F102*2</f>
        <v>651.96800000000007</v>
      </c>
      <c r="G105" s="39">
        <v>52.15</v>
      </c>
      <c r="H105" s="39">
        <f t="shared" si="10"/>
        <v>34000.131200000003</v>
      </c>
    </row>
    <row r="106" spans="1:10" s="40" customFormat="1" ht="28.5" x14ac:dyDescent="0.25">
      <c r="A106" s="36" t="s">
        <v>921</v>
      </c>
      <c r="B106" s="62" t="s">
        <v>19</v>
      </c>
      <c r="C106" s="62" t="s">
        <v>474</v>
      </c>
      <c r="D106" s="17" t="s">
        <v>469</v>
      </c>
      <c r="E106" s="65" t="s">
        <v>13</v>
      </c>
      <c r="F106" s="38">
        <f>(24.64*2.9)*2</f>
        <v>142.91200000000001</v>
      </c>
      <c r="G106" s="39">
        <v>50.35</v>
      </c>
      <c r="H106" s="39">
        <f t="shared" si="10"/>
        <v>7195.6192000000001</v>
      </c>
    </row>
    <row r="107" spans="1:10" s="40" customFormat="1" x14ac:dyDescent="0.25">
      <c r="A107" s="36" t="s">
        <v>922</v>
      </c>
      <c r="B107" s="62" t="s">
        <v>19</v>
      </c>
      <c r="C107" s="62" t="s">
        <v>429</v>
      </c>
      <c r="D107" s="17" t="s">
        <v>470</v>
      </c>
      <c r="E107" s="65" t="s">
        <v>13</v>
      </c>
      <c r="F107" s="38">
        <f>F101*30%</f>
        <v>42.873600000000003</v>
      </c>
      <c r="G107" s="39">
        <v>177.15</v>
      </c>
      <c r="H107" s="39">
        <f t="shared" si="10"/>
        <v>7595.0582400000012</v>
      </c>
    </row>
    <row r="108" spans="1:10" s="40" customFormat="1" x14ac:dyDescent="0.25">
      <c r="A108" s="36" t="s">
        <v>923</v>
      </c>
      <c r="B108" s="62" t="s">
        <v>19</v>
      </c>
      <c r="C108" s="62" t="s">
        <v>430</v>
      </c>
      <c r="D108" s="17" t="s">
        <v>477</v>
      </c>
      <c r="E108" s="65" t="s">
        <v>28</v>
      </c>
      <c r="F108" s="38">
        <f>(24.64*2)+(1.61*2)+((2.4*3)*2)</f>
        <v>66.900000000000006</v>
      </c>
      <c r="G108" s="39">
        <v>7.72</v>
      </c>
      <c r="H108" s="39">
        <f t="shared" si="10"/>
        <v>516.46800000000007</v>
      </c>
    </row>
    <row r="109" spans="1:10" s="14" customFormat="1" ht="15" x14ac:dyDescent="0.25">
      <c r="A109" s="10">
        <v>7</v>
      </c>
      <c r="B109" s="10"/>
      <c r="C109" s="11"/>
      <c r="D109" s="12" t="s">
        <v>486</v>
      </c>
      <c r="E109" s="10"/>
      <c r="F109" s="13"/>
      <c r="G109" s="3"/>
      <c r="H109" s="3">
        <f>SUM(H110:H114)</f>
        <v>17739.0465</v>
      </c>
      <c r="I109" s="28"/>
    </row>
    <row r="110" spans="1:10" s="40" customFormat="1" x14ac:dyDescent="0.25">
      <c r="A110" s="36" t="s">
        <v>181</v>
      </c>
      <c r="B110" s="62" t="s">
        <v>19</v>
      </c>
      <c r="C110" s="62" t="s">
        <v>489</v>
      </c>
      <c r="D110" s="17" t="s">
        <v>487</v>
      </c>
      <c r="E110" s="65" t="s">
        <v>13</v>
      </c>
      <c r="F110" s="38">
        <f>(4.51*3.5)+((2.8+2.15)*3.5)+(0.83*2.1)+(1*3.5)+(3.15*3.5)</f>
        <v>49.378</v>
      </c>
      <c r="G110" s="39">
        <v>118.55</v>
      </c>
      <c r="H110" s="39">
        <f t="shared" si="10"/>
        <v>5853.7618999999995</v>
      </c>
    </row>
    <row r="111" spans="1:10" s="40" customFormat="1" x14ac:dyDescent="0.25">
      <c r="A111" s="36" t="s">
        <v>182</v>
      </c>
      <c r="B111" s="62" t="s">
        <v>19</v>
      </c>
      <c r="C111" s="62" t="s">
        <v>495</v>
      </c>
      <c r="D111" s="17" t="s">
        <v>494</v>
      </c>
      <c r="E111" s="65" t="s">
        <v>13</v>
      </c>
      <c r="F111" s="38">
        <f>F110*2</f>
        <v>98.756</v>
      </c>
      <c r="G111" s="39">
        <v>6.82</v>
      </c>
      <c r="H111" s="39">
        <f t="shared" si="10"/>
        <v>673.51592000000005</v>
      </c>
    </row>
    <row r="112" spans="1:10" s="40" customFormat="1" ht="28.5" x14ac:dyDescent="0.25">
      <c r="A112" s="36" t="s">
        <v>924</v>
      </c>
      <c r="B112" s="62" t="s">
        <v>19</v>
      </c>
      <c r="C112" s="62" t="s">
        <v>491</v>
      </c>
      <c r="D112" s="17" t="s">
        <v>490</v>
      </c>
      <c r="E112" s="65" t="s">
        <v>13</v>
      </c>
      <c r="F112" s="38">
        <f>F111</f>
        <v>98.756</v>
      </c>
      <c r="G112" s="39">
        <v>61.47</v>
      </c>
      <c r="H112" s="39">
        <f t="shared" si="10"/>
        <v>6070.5313200000001</v>
      </c>
    </row>
    <row r="113" spans="1:9" s="40" customFormat="1" x14ac:dyDescent="0.25">
      <c r="A113" s="36" t="s">
        <v>925</v>
      </c>
      <c r="B113" s="62"/>
      <c r="C113" s="62" t="s">
        <v>492</v>
      </c>
      <c r="D113" s="17" t="s">
        <v>493</v>
      </c>
      <c r="E113" s="65" t="s">
        <v>13</v>
      </c>
      <c r="F113" s="38">
        <f>F112</f>
        <v>98.756</v>
      </c>
      <c r="G113" s="39">
        <v>14.58</v>
      </c>
      <c r="H113" s="39">
        <f t="shared" si="10"/>
        <v>1439.86248</v>
      </c>
    </row>
    <row r="114" spans="1:9" s="40" customFormat="1" x14ac:dyDescent="0.25">
      <c r="A114" s="36" t="s">
        <v>926</v>
      </c>
      <c r="B114" s="62" t="s">
        <v>19</v>
      </c>
      <c r="C114" s="62" t="s">
        <v>62</v>
      </c>
      <c r="D114" s="17" t="s">
        <v>488</v>
      </c>
      <c r="E114" s="65" t="s">
        <v>13</v>
      </c>
      <c r="F114" s="38">
        <f>F113</f>
        <v>98.756</v>
      </c>
      <c r="G114" s="39">
        <v>37.479999999999997</v>
      </c>
      <c r="H114" s="39">
        <f t="shared" si="10"/>
        <v>3701.3748799999998</v>
      </c>
    </row>
    <row r="115" spans="1:9" s="14" customFormat="1" ht="15" x14ac:dyDescent="0.25">
      <c r="A115" s="10">
        <v>8</v>
      </c>
      <c r="B115" s="10"/>
      <c r="C115" s="11"/>
      <c r="D115" s="12" t="s">
        <v>208</v>
      </c>
      <c r="E115" s="10"/>
      <c r="F115" s="13"/>
      <c r="G115" s="3"/>
      <c r="H115" s="3">
        <f>SUM(H116,H127,H187)</f>
        <v>378845.63</v>
      </c>
      <c r="I115" s="28"/>
    </row>
    <row r="116" spans="1:9" ht="15" x14ac:dyDescent="0.25">
      <c r="A116" s="19" t="s">
        <v>57</v>
      </c>
      <c r="B116" s="19"/>
      <c r="C116" s="20"/>
      <c r="D116" s="21" t="s">
        <v>331</v>
      </c>
      <c r="E116" s="19"/>
      <c r="F116" s="22"/>
      <c r="G116" s="4"/>
      <c r="H116" s="4">
        <f>SUM(H117:H126)</f>
        <v>62353.849999999991</v>
      </c>
      <c r="I116" s="28"/>
    </row>
    <row r="117" spans="1:9" s="40" customFormat="1" ht="28.5" x14ac:dyDescent="0.25">
      <c r="A117" s="36" t="s">
        <v>459</v>
      </c>
      <c r="B117" s="62" t="s">
        <v>19</v>
      </c>
      <c r="C117" s="62" t="s">
        <v>255</v>
      </c>
      <c r="D117" s="17" t="s">
        <v>256</v>
      </c>
      <c r="E117" s="65" t="s">
        <v>28</v>
      </c>
      <c r="F117" s="38">
        <v>400</v>
      </c>
      <c r="G117" s="39">
        <v>19.09</v>
      </c>
      <c r="H117" s="39">
        <f t="shared" ref="H117:H126" si="11">F117*G117</f>
        <v>7636</v>
      </c>
    </row>
    <row r="118" spans="1:9" s="40" customFormat="1" ht="28.5" x14ac:dyDescent="0.25">
      <c r="A118" s="36" t="s">
        <v>460</v>
      </c>
      <c r="B118" s="62" t="s">
        <v>19</v>
      </c>
      <c r="C118" s="62" t="s">
        <v>253</v>
      </c>
      <c r="D118" s="17" t="s">
        <v>254</v>
      </c>
      <c r="E118" s="65" t="s">
        <v>15</v>
      </c>
      <c r="F118" s="38">
        <v>4</v>
      </c>
      <c r="G118" s="39">
        <v>157.91</v>
      </c>
      <c r="H118" s="39">
        <f t="shared" si="11"/>
        <v>631.64</v>
      </c>
    </row>
    <row r="119" spans="1:9" s="40" customFormat="1" ht="28.5" x14ac:dyDescent="0.25">
      <c r="A119" s="36" t="s">
        <v>461</v>
      </c>
      <c r="B119" s="62" t="s">
        <v>19</v>
      </c>
      <c r="C119" s="62" t="s">
        <v>332</v>
      </c>
      <c r="D119" s="17" t="s">
        <v>333</v>
      </c>
      <c r="E119" s="65" t="s">
        <v>15</v>
      </c>
      <c r="F119" s="38">
        <v>5</v>
      </c>
      <c r="G119" s="39">
        <v>34.54</v>
      </c>
      <c r="H119" s="39">
        <f t="shared" si="11"/>
        <v>172.7</v>
      </c>
    </row>
    <row r="120" spans="1:9" s="40" customFormat="1" ht="28.5" x14ac:dyDescent="0.25">
      <c r="A120" s="36" t="s">
        <v>462</v>
      </c>
      <c r="B120" s="62" t="s">
        <v>19</v>
      </c>
      <c r="C120" s="62" t="s">
        <v>334</v>
      </c>
      <c r="D120" s="17" t="s">
        <v>335</v>
      </c>
      <c r="E120" s="65" t="s">
        <v>28</v>
      </c>
      <c r="F120" s="38">
        <v>1350</v>
      </c>
      <c r="G120" s="39">
        <v>3.6</v>
      </c>
      <c r="H120" s="39">
        <f t="shared" si="11"/>
        <v>4860</v>
      </c>
    </row>
    <row r="121" spans="1:9" s="40" customFormat="1" ht="28.5" x14ac:dyDescent="0.25">
      <c r="A121" s="36" t="s">
        <v>463</v>
      </c>
      <c r="B121" s="62" t="s">
        <v>19</v>
      </c>
      <c r="C121" s="62" t="s">
        <v>281</v>
      </c>
      <c r="D121" s="17" t="s">
        <v>282</v>
      </c>
      <c r="E121" s="65" t="s">
        <v>15</v>
      </c>
      <c r="F121" s="38">
        <v>40</v>
      </c>
      <c r="G121" s="39">
        <v>18.87</v>
      </c>
      <c r="H121" s="39">
        <f t="shared" si="11"/>
        <v>754.80000000000007</v>
      </c>
    </row>
    <row r="122" spans="1:9" s="40" customFormat="1" x14ac:dyDescent="0.25">
      <c r="A122" s="36" t="s">
        <v>464</v>
      </c>
      <c r="B122" s="62" t="s">
        <v>19</v>
      </c>
      <c r="C122" s="62" t="s">
        <v>287</v>
      </c>
      <c r="D122" s="17" t="s">
        <v>288</v>
      </c>
      <c r="E122" s="65" t="s">
        <v>15</v>
      </c>
      <c r="F122" s="38">
        <v>40</v>
      </c>
      <c r="G122" s="39">
        <v>15.91</v>
      </c>
      <c r="H122" s="39">
        <f t="shared" si="11"/>
        <v>636.4</v>
      </c>
    </row>
    <row r="123" spans="1:9" s="40" customFormat="1" ht="28.5" x14ac:dyDescent="0.25">
      <c r="A123" s="36" t="s">
        <v>465</v>
      </c>
      <c r="B123" s="62" t="s">
        <v>19</v>
      </c>
      <c r="C123" s="62" t="s">
        <v>336</v>
      </c>
      <c r="D123" s="17" t="s">
        <v>337</v>
      </c>
      <c r="E123" s="65" t="s">
        <v>15</v>
      </c>
      <c r="F123" s="38">
        <v>7</v>
      </c>
      <c r="G123" s="39">
        <v>107.42</v>
      </c>
      <c r="H123" s="39">
        <f t="shared" si="11"/>
        <v>751.94</v>
      </c>
    </row>
    <row r="124" spans="1:9" s="40" customFormat="1" ht="42.75" x14ac:dyDescent="0.25">
      <c r="A124" s="36" t="s">
        <v>466</v>
      </c>
      <c r="B124" s="62" t="s">
        <v>19</v>
      </c>
      <c r="C124" s="62" t="s">
        <v>338</v>
      </c>
      <c r="D124" s="17" t="s">
        <v>339</v>
      </c>
      <c r="E124" s="65" t="s">
        <v>15</v>
      </c>
      <c r="F124" s="38">
        <v>39</v>
      </c>
      <c r="G124" s="39">
        <v>722.03</v>
      </c>
      <c r="H124" s="39">
        <f t="shared" si="11"/>
        <v>28159.17</v>
      </c>
    </row>
    <row r="125" spans="1:9" s="40" customFormat="1" ht="28.5" x14ac:dyDescent="0.25">
      <c r="A125" s="36" t="s">
        <v>467</v>
      </c>
      <c r="B125" s="62" t="s">
        <v>19</v>
      </c>
      <c r="C125" s="62" t="s">
        <v>340</v>
      </c>
      <c r="D125" s="17" t="s">
        <v>341</v>
      </c>
      <c r="E125" s="65" t="s">
        <v>15</v>
      </c>
      <c r="F125" s="38">
        <v>39</v>
      </c>
      <c r="G125" s="39">
        <v>433.11</v>
      </c>
      <c r="H125" s="39">
        <f t="shared" si="11"/>
        <v>16891.29</v>
      </c>
    </row>
    <row r="126" spans="1:9" s="40" customFormat="1" ht="28.5" x14ac:dyDescent="0.25">
      <c r="A126" s="36" t="s">
        <v>468</v>
      </c>
      <c r="B126" s="62" t="s">
        <v>19</v>
      </c>
      <c r="C126" s="62" t="s">
        <v>342</v>
      </c>
      <c r="D126" s="17" t="s">
        <v>343</v>
      </c>
      <c r="E126" s="65" t="s">
        <v>15</v>
      </c>
      <c r="F126" s="38">
        <v>39</v>
      </c>
      <c r="G126" s="39">
        <v>47.69</v>
      </c>
      <c r="H126" s="39">
        <f t="shared" si="11"/>
        <v>1859.9099999999999</v>
      </c>
    </row>
    <row r="127" spans="1:9" ht="15" x14ac:dyDescent="0.25">
      <c r="A127" s="19" t="s">
        <v>58</v>
      </c>
      <c r="B127" s="19"/>
      <c r="C127" s="20"/>
      <c r="D127" s="21" t="s">
        <v>329</v>
      </c>
      <c r="E127" s="19"/>
      <c r="F127" s="22"/>
      <c r="G127" s="4"/>
      <c r="H127" s="4">
        <f>SUM(H128:H186)</f>
        <v>226806.03</v>
      </c>
      <c r="I127" s="28"/>
    </row>
    <row r="128" spans="1:9" s="40" customFormat="1" ht="28.5" x14ac:dyDescent="0.25">
      <c r="A128" s="36" t="s">
        <v>407</v>
      </c>
      <c r="B128" s="62" t="s">
        <v>19</v>
      </c>
      <c r="C128" s="62" t="s">
        <v>221</v>
      </c>
      <c r="D128" s="37" t="s">
        <v>222</v>
      </c>
      <c r="E128" s="65" t="s">
        <v>15</v>
      </c>
      <c r="F128" s="38">
        <v>1</v>
      </c>
      <c r="G128" s="39">
        <v>2902.74</v>
      </c>
      <c r="H128" s="39">
        <f t="shared" ref="H128:H208" si="12">F128*G128</f>
        <v>2902.74</v>
      </c>
    </row>
    <row r="129" spans="1:8" s="40" customFormat="1" x14ac:dyDescent="0.25">
      <c r="A129" s="36" t="s">
        <v>408</v>
      </c>
      <c r="B129" s="62" t="s">
        <v>19</v>
      </c>
      <c r="C129" s="62" t="s">
        <v>223</v>
      </c>
      <c r="D129" s="37" t="s">
        <v>224</v>
      </c>
      <c r="E129" s="65" t="s">
        <v>15</v>
      </c>
      <c r="F129" s="38">
        <v>1</v>
      </c>
      <c r="G129" s="39">
        <v>143.12</v>
      </c>
      <c r="H129" s="39">
        <f t="shared" si="12"/>
        <v>143.12</v>
      </c>
    </row>
    <row r="130" spans="1:8" s="40" customFormat="1" ht="42.75" x14ac:dyDescent="0.25">
      <c r="A130" s="36" t="s">
        <v>409</v>
      </c>
      <c r="B130" s="62" t="s">
        <v>19</v>
      </c>
      <c r="C130" s="62" t="s">
        <v>225</v>
      </c>
      <c r="D130" s="37" t="s">
        <v>226</v>
      </c>
      <c r="E130" s="65" t="s">
        <v>15</v>
      </c>
      <c r="F130" s="38">
        <v>1</v>
      </c>
      <c r="G130" s="39">
        <v>1171.92</v>
      </c>
      <c r="H130" s="39">
        <f t="shared" si="12"/>
        <v>1171.92</v>
      </c>
    </row>
    <row r="131" spans="1:8" s="40" customFormat="1" ht="42.75" x14ac:dyDescent="0.25">
      <c r="A131" s="36" t="s">
        <v>410</v>
      </c>
      <c r="B131" s="62" t="s">
        <v>19</v>
      </c>
      <c r="C131" s="62" t="s">
        <v>227</v>
      </c>
      <c r="D131" s="37" t="s">
        <v>228</v>
      </c>
      <c r="E131" s="65" t="s">
        <v>15</v>
      </c>
      <c r="F131" s="38">
        <v>1</v>
      </c>
      <c r="G131" s="39">
        <v>1138.79</v>
      </c>
      <c r="H131" s="39">
        <f t="shared" si="12"/>
        <v>1138.79</v>
      </c>
    </row>
    <row r="132" spans="1:8" s="40" customFormat="1" ht="42.75" x14ac:dyDescent="0.25">
      <c r="A132" s="36" t="s">
        <v>411</v>
      </c>
      <c r="B132" s="62" t="s">
        <v>19</v>
      </c>
      <c r="C132" s="62" t="s">
        <v>227</v>
      </c>
      <c r="D132" s="37" t="s">
        <v>228</v>
      </c>
      <c r="E132" s="65" t="s">
        <v>15</v>
      </c>
      <c r="F132" s="38">
        <v>1</v>
      </c>
      <c r="G132" s="39">
        <v>1138.79</v>
      </c>
      <c r="H132" s="39">
        <f t="shared" si="12"/>
        <v>1138.79</v>
      </c>
    </row>
    <row r="133" spans="1:8" s="40" customFormat="1" ht="42.75" x14ac:dyDescent="0.25">
      <c r="A133" s="36" t="s">
        <v>412</v>
      </c>
      <c r="B133" s="62" t="s">
        <v>19</v>
      </c>
      <c r="C133" s="62" t="s">
        <v>229</v>
      </c>
      <c r="D133" s="37" t="s">
        <v>230</v>
      </c>
      <c r="E133" s="65" t="s">
        <v>15</v>
      </c>
      <c r="F133" s="38">
        <v>1</v>
      </c>
      <c r="G133" s="39">
        <v>687.32</v>
      </c>
      <c r="H133" s="39">
        <f t="shared" si="12"/>
        <v>687.32</v>
      </c>
    </row>
    <row r="134" spans="1:8" s="40" customFormat="1" ht="42.75" x14ac:dyDescent="0.25">
      <c r="A134" s="36" t="s">
        <v>413</v>
      </c>
      <c r="B134" s="62" t="s">
        <v>19</v>
      </c>
      <c r="C134" s="62" t="s">
        <v>231</v>
      </c>
      <c r="D134" s="37" t="s">
        <v>232</v>
      </c>
      <c r="E134" s="65" t="s">
        <v>15</v>
      </c>
      <c r="F134" s="38">
        <v>2</v>
      </c>
      <c r="G134" s="39">
        <v>544.98</v>
      </c>
      <c r="H134" s="39">
        <f t="shared" si="12"/>
        <v>1089.96</v>
      </c>
    </row>
    <row r="135" spans="1:8" s="40" customFormat="1" ht="28.5" x14ac:dyDescent="0.25">
      <c r="A135" s="36" t="s">
        <v>414</v>
      </c>
      <c r="B135" s="62" t="s">
        <v>19</v>
      </c>
      <c r="C135" s="62" t="s">
        <v>233</v>
      </c>
      <c r="D135" s="37" t="s">
        <v>234</v>
      </c>
      <c r="E135" s="65" t="s">
        <v>15</v>
      </c>
      <c r="F135" s="38">
        <v>5</v>
      </c>
      <c r="G135" s="39">
        <v>908.08</v>
      </c>
      <c r="H135" s="39">
        <f t="shared" si="12"/>
        <v>4540.4000000000005</v>
      </c>
    </row>
    <row r="136" spans="1:8" s="40" customFormat="1" ht="28.5" x14ac:dyDescent="0.25">
      <c r="A136" s="36" t="s">
        <v>927</v>
      </c>
      <c r="B136" s="62" t="s">
        <v>19</v>
      </c>
      <c r="C136" s="62" t="s">
        <v>235</v>
      </c>
      <c r="D136" s="37" t="s">
        <v>236</v>
      </c>
      <c r="E136" s="65" t="s">
        <v>15</v>
      </c>
      <c r="F136" s="38">
        <v>3</v>
      </c>
      <c r="G136" s="39">
        <v>75.11</v>
      </c>
      <c r="H136" s="39">
        <f t="shared" si="12"/>
        <v>225.32999999999998</v>
      </c>
    </row>
    <row r="137" spans="1:8" s="40" customFormat="1" ht="28.5" x14ac:dyDescent="0.25">
      <c r="A137" s="36" t="s">
        <v>928</v>
      </c>
      <c r="B137" s="62" t="s">
        <v>19</v>
      </c>
      <c r="C137" s="62" t="s">
        <v>237</v>
      </c>
      <c r="D137" s="37" t="s">
        <v>238</v>
      </c>
      <c r="E137" s="65" t="s">
        <v>15</v>
      </c>
      <c r="F137" s="38">
        <v>4</v>
      </c>
      <c r="G137" s="39">
        <v>70.52</v>
      </c>
      <c r="H137" s="39">
        <f t="shared" si="12"/>
        <v>282.08</v>
      </c>
    </row>
    <row r="138" spans="1:8" s="40" customFormat="1" ht="28.5" x14ac:dyDescent="0.25">
      <c r="A138" s="36" t="s">
        <v>929</v>
      </c>
      <c r="B138" s="62" t="s">
        <v>19</v>
      </c>
      <c r="C138" s="62" t="s">
        <v>239</v>
      </c>
      <c r="D138" s="37" t="s">
        <v>240</v>
      </c>
      <c r="E138" s="65" t="s">
        <v>15</v>
      </c>
      <c r="F138" s="38">
        <v>13</v>
      </c>
      <c r="G138" s="39">
        <v>54.71</v>
      </c>
      <c r="H138" s="39">
        <f t="shared" si="12"/>
        <v>711.23</v>
      </c>
    </row>
    <row r="139" spans="1:8" s="40" customFormat="1" ht="28.5" x14ac:dyDescent="0.25">
      <c r="A139" s="36" t="s">
        <v>930</v>
      </c>
      <c r="B139" s="62" t="s">
        <v>19</v>
      </c>
      <c r="C139" s="62" t="s">
        <v>241</v>
      </c>
      <c r="D139" s="37" t="s">
        <v>242</v>
      </c>
      <c r="E139" s="65" t="s">
        <v>15</v>
      </c>
      <c r="F139" s="38">
        <v>23</v>
      </c>
      <c r="G139" s="39">
        <v>21.97</v>
      </c>
      <c r="H139" s="39">
        <f t="shared" si="12"/>
        <v>505.30999999999995</v>
      </c>
    </row>
    <row r="140" spans="1:8" s="40" customFormat="1" ht="28.5" x14ac:dyDescent="0.25">
      <c r="A140" s="36" t="s">
        <v>931</v>
      </c>
      <c r="B140" s="62" t="s">
        <v>19</v>
      </c>
      <c r="C140" s="62" t="s">
        <v>243</v>
      </c>
      <c r="D140" s="37" t="s">
        <v>244</v>
      </c>
      <c r="E140" s="65" t="s">
        <v>15</v>
      </c>
      <c r="F140" s="38">
        <v>2</v>
      </c>
      <c r="G140" s="39">
        <v>488.82</v>
      </c>
      <c r="H140" s="39">
        <f t="shared" si="12"/>
        <v>977.64</v>
      </c>
    </row>
    <row r="141" spans="1:8" s="40" customFormat="1" ht="28.5" x14ac:dyDescent="0.25">
      <c r="A141" s="36" t="s">
        <v>932</v>
      </c>
      <c r="B141" s="62" t="s">
        <v>19</v>
      </c>
      <c r="C141" s="62" t="s">
        <v>245</v>
      </c>
      <c r="D141" s="37" t="s">
        <v>246</v>
      </c>
      <c r="E141" s="65" t="s">
        <v>15</v>
      </c>
      <c r="F141" s="38">
        <v>1</v>
      </c>
      <c r="G141" s="39">
        <v>309.70999999999998</v>
      </c>
      <c r="H141" s="39">
        <f t="shared" si="12"/>
        <v>309.70999999999998</v>
      </c>
    </row>
    <row r="142" spans="1:8" s="40" customFormat="1" ht="28.5" x14ac:dyDescent="0.25">
      <c r="A142" s="36" t="s">
        <v>933</v>
      </c>
      <c r="B142" s="62" t="s">
        <v>19</v>
      </c>
      <c r="C142" s="62" t="s">
        <v>247</v>
      </c>
      <c r="D142" s="37" t="s">
        <v>248</v>
      </c>
      <c r="E142" s="65" t="s">
        <v>15</v>
      </c>
      <c r="F142" s="38">
        <v>12</v>
      </c>
      <c r="G142" s="39">
        <v>169.17</v>
      </c>
      <c r="H142" s="39">
        <f t="shared" si="12"/>
        <v>2030.04</v>
      </c>
    </row>
    <row r="143" spans="1:8" s="40" customFormat="1" ht="28.5" x14ac:dyDescent="0.25">
      <c r="A143" s="36" t="s">
        <v>934</v>
      </c>
      <c r="B143" s="62" t="s">
        <v>19</v>
      </c>
      <c r="C143" s="62" t="s">
        <v>249</v>
      </c>
      <c r="D143" s="37" t="s">
        <v>250</v>
      </c>
      <c r="E143" s="63" t="s">
        <v>28</v>
      </c>
      <c r="F143" s="38">
        <v>70</v>
      </c>
      <c r="G143" s="39">
        <v>8.1999999999999993</v>
      </c>
      <c r="H143" s="39">
        <f t="shared" si="12"/>
        <v>574</v>
      </c>
    </row>
    <row r="144" spans="1:8" s="40" customFormat="1" ht="28.5" x14ac:dyDescent="0.25">
      <c r="A144" s="36" t="s">
        <v>935</v>
      </c>
      <c r="B144" s="62" t="s">
        <v>19</v>
      </c>
      <c r="C144" s="62" t="s">
        <v>251</v>
      </c>
      <c r="D144" s="37" t="s">
        <v>252</v>
      </c>
      <c r="E144" s="63" t="s">
        <v>28</v>
      </c>
      <c r="F144" s="38">
        <v>110</v>
      </c>
      <c r="G144" s="39">
        <v>7.19</v>
      </c>
      <c r="H144" s="39">
        <f t="shared" si="12"/>
        <v>790.90000000000009</v>
      </c>
    </row>
    <row r="145" spans="1:8" s="40" customFormat="1" ht="28.5" x14ac:dyDescent="0.25">
      <c r="A145" s="36" t="s">
        <v>936</v>
      </c>
      <c r="B145" s="62" t="s">
        <v>19</v>
      </c>
      <c r="C145" s="62" t="s">
        <v>253</v>
      </c>
      <c r="D145" s="37" t="s">
        <v>254</v>
      </c>
      <c r="E145" s="65" t="s">
        <v>15</v>
      </c>
      <c r="F145" s="38">
        <v>11</v>
      </c>
      <c r="G145" s="39">
        <v>157.91</v>
      </c>
      <c r="H145" s="39">
        <f t="shared" si="12"/>
        <v>1737.01</v>
      </c>
    </row>
    <row r="146" spans="1:8" s="40" customFormat="1" ht="28.5" x14ac:dyDescent="0.25">
      <c r="A146" s="36" t="s">
        <v>937</v>
      </c>
      <c r="B146" s="62" t="s">
        <v>19</v>
      </c>
      <c r="C146" s="62" t="s">
        <v>255</v>
      </c>
      <c r="D146" s="37" t="s">
        <v>256</v>
      </c>
      <c r="E146" s="63" t="s">
        <v>28</v>
      </c>
      <c r="F146" s="38">
        <v>600</v>
      </c>
      <c r="G146" s="39">
        <v>19.09</v>
      </c>
      <c r="H146" s="39">
        <f t="shared" si="12"/>
        <v>11454</v>
      </c>
    </row>
    <row r="147" spans="1:8" s="40" customFormat="1" ht="28.5" x14ac:dyDescent="0.25">
      <c r="A147" s="36" t="s">
        <v>938</v>
      </c>
      <c r="B147" s="62" t="s">
        <v>19</v>
      </c>
      <c r="C147" s="62" t="s">
        <v>257</v>
      </c>
      <c r="D147" s="37" t="s">
        <v>258</v>
      </c>
      <c r="E147" s="63" t="s">
        <v>28</v>
      </c>
      <c r="F147" s="38">
        <v>1050</v>
      </c>
      <c r="G147" s="39">
        <v>4.71</v>
      </c>
      <c r="H147" s="39">
        <f t="shared" si="12"/>
        <v>4945.5</v>
      </c>
    </row>
    <row r="148" spans="1:8" s="40" customFormat="1" ht="28.5" x14ac:dyDescent="0.25">
      <c r="A148" s="36" t="s">
        <v>939</v>
      </c>
      <c r="B148" s="62" t="s">
        <v>19</v>
      </c>
      <c r="C148" s="62" t="s">
        <v>259</v>
      </c>
      <c r="D148" s="37" t="s">
        <v>260</v>
      </c>
      <c r="E148" s="63" t="s">
        <v>28</v>
      </c>
      <c r="F148" s="38">
        <v>450</v>
      </c>
      <c r="G148" s="39">
        <v>7.36</v>
      </c>
      <c r="H148" s="39">
        <f t="shared" si="12"/>
        <v>3312</v>
      </c>
    </row>
    <row r="149" spans="1:8" s="40" customFormat="1" ht="28.5" x14ac:dyDescent="0.25">
      <c r="A149" s="36" t="s">
        <v>940</v>
      </c>
      <c r="B149" s="62" t="s">
        <v>19</v>
      </c>
      <c r="C149" s="62" t="s">
        <v>261</v>
      </c>
      <c r="D149" s="37" t="s">
        <v>262</v>
      </c>
      <c r="E149" s="63" t="s">
        <v>28</v>
      </c>
      <c r="F149" s="38">
        <v>350</v>
      </c>
      <c r="G149" s="39">
        <v>9.93</v>
      </c>
      <c r="H149" s="39">
        <f t="shared" si="12"/>
        <v>3475.5</v>
      </c>
    </row>
    <row r="150" spans="1:8" s="40" customFormat="1" ht="28.5" x14ac:dyDescent="0.25">
      <c r="A150" s="36" t="s">
        <v>941</v>
      </c>
      <c r="B150" s="62" t="s">
        <v>19</v>
      </c>
      <c r="C150" s="62" t="s">
        <v>263</v>
      </c>
      <c r="D150" s="37" t="s">
        <v>264</v>
      </c>
      <c r="E150" s="63" t="s">
        <v>28</v>
      </c>
      <c r="F150" s="38">
        <v>40</v>
      </c>
      <c r="G150" s="39">
        <v>4.8499999999999996</v>
      </c>
      <c r="H150" s="39">
        <f t="shared" si="12"/>
        <v>194</v>
      </c>
    </row>
    <row r="151" spans="1:8" s="40" customFormat="1" ht="28.5" x14ac:dyDescent="0.25">
      <c r="A151" s="36" t="s">
        <v>942</v>
      </c>
      <c r="B151" s="62" t="s">
        <v>19</v>
      </c>
      <c r="C151" s="62" t="s">
        <v>265</v>
      </c>
      <c r="D151" s="37" t="s">
        <v>266</v>
      </c>
      <c r="E151" s="63" t="s">
        <v>28</v>
      </c>
      <c r="F151" s="38">
        <v>200</v>
      </c>
      <c r="G151" s="39">
        <v>6.72</v>
      </c>
      <c r="H151" s="39">
        <f t="shared" si="12"/>
        <v>1344</v>
      </c>
    </row>
    <row r="152" spans="1:8" s="40" customFormat="1" ht="28.5" x14ac:dyDescent="0.25">
      <c r="A152" s="36" t="s">
        <v>943</v>
      </c>
      <c r="B152" s="62" t="s">
        <v>19</v>
      </c>
      <c r="C152" s="62" t="s">
        <v>267</v>
      </c>
      <c r="D152" s="37" t="s">
        <v>268</v>
      </c>
      <c r="E152" s="63" t="s">
        <v>28</v>
      </c>
      <c r="F152" s="38">
        <v>160</v>
      </c>
      <c r="G152" s="39">
        <v>18.350000000000001</v>
      </c>
      <c r="H152" s="39">
        <f t="shared" si="12"/>
        <v>2936</v>
      </c>
    </row>
    <row r="153" spans="1:8" s="40" customFormat="1" ht="28.5" x14ac:dyDescent="0.25">
      <c r="A153" s="36" t="s">
        <v>944</v>
      </c>
      <c r="B153" s="62" t="s">
        <v>19</v>
      </c>
      <c r="C153" s="62" t="s">
        <v>269</v>
      </c>
      <c r="D153" s="37" t="s">
        <v>270</v>
      </c>
      <c r="E153" s="63" t="s">
        <v>28</v>
      </c>
      <c r="F153" s="38">
        <v>320</v>
      </c>
      <c r="G153" s="39">
        <v>25.86</v>
      </c>
      <c r="H153" s="39">
        <f t="shared" si="12"/>
        <v>8275.2000000000007</v>
      </c>
    </row>
    <row r="154" spans="1:8" s="40" customFormat="1" ht="28.5" x14ac:dyDescent="0.25">
      <c r="A154" s="36" t="s">
        <v>945</v>
      </c>
      <c r="B154" s="62" t="s">
        <v>19</v>
      </c>
      <c r="C154" s="62" t="s">
        <v>271</v>
      </c>
      <c r="D154" s="37" t="s">
        <v>272</v>
      </c>
      <c r="E154" s="63" t="s">
        <v>28</v>
      </c>
      <c r="F154" s="38">
        <v>400</v>
      </c>
      <c r="G154" s="39">
        <v>36.549999999999997</v>
      </c>
      <c r="H154" s="39">
        <f t="shared" si="12"/>
        <v>14619.999999999998</v>
      </c>
    </row>
    <row r="155" spans="1:8" s="40" customFormat="1" ht="28.5" x14ac:dyDescent="0.25">
      <c r="A155" s="36" t="s">
        <v>946</v>
      </c>
      <c r="B155" s="62" t="s">
        <v>19</v>
      </c>
      <c r="C155" s="62" t="s">
        <v>273</v>
      </c>
      <c r="D155" s="37" t="s">
        <v>274</v>
      </c>
      <c r="E155" s="63" t="s">
        <v>28</v>
      </c>
      <c r="F155" s="38">
        <v>320</v>
      </c>
      <c r="G155" s="39">
        <v>70.09</v>
      </c>
      <c r="H155" s="39">
        <f t="shared" si="12"/>
        <v>22428.800000000003</v>
      </c>
    </row>
    <row r="156" spans="1:8" s="40" customFormat="1" ht="28.5" x14ac:dyDescent="0.25">
      <c r="A156" s="36" t="s">
        <v>947</v>
      </c>
      <c r="B156" s="62" t="s">
        <v>19</v>
      </c>
      <c r="C156" s="62" t="s">
        <v>275</v>
      </c>
      <c r="D156" s="37" t="s">
        <v>276</v>
      </c>
      <c r="E156" s="65" t="s">
        <v>15</v>
      </c>
      <c r="F156" s="38">
        <v>20</v>
      </c>
      <c r="G156" s="39">
        <v>15.99</v>
      </c>
      <c r="H156" s="39">
        <f t="shared" si="12"/>
        <v>319.8</v>
      </c>
    </row>
    <row r="157" spans="1:8" s="40" customFormat="1" ht="28.5" x14ac:dyDescent="0.25">
      <c r="A157" s="36" t="s">
        <v>948</v>
      </c>
      <c r="B157" s="62" t="s">
        <v>19</v>
      </c>
      <c r="C157" s="62" t="s">
        <v>277</v>
      </c>
      <c r="D157" s="37" t="s">
        <v>278</v>
      </c>
      <c r="E157" s="65" t="s">
        <v>15</v>
      </c>
      <c r="F157" s="38">
        <v>10</v>
      </c>
      <c r="G157" s="39">
        <v>18.510000000000002</v>
      </c>
      <c r="H157" s="39">
        <f t="shared" si="12"/>
        <v>185.10000000000002</v>
      </c>
    </row>
    <row r="158" spans="1:8" s="40" customFormat="1" ht="28.5" x14ac:dyDescent="0.25">
      <c r="A158" s="36" t="s">
        <v>949</v>
      </c>
      <c r="B158" s="62" t="s">
        <v>19</v>
      </c>
      <c r="C158" s="62" t="s">
        <v>279</v>
      </c>
      <c r="D158" s="37" t="s">
        <v>280</v>
      </c>
      <c r="E158" s="65" t="s">
        <v>15</v>
      </c>
      <c r="F158" s="38">
        <v>10</v>
      </c>
      <c r="G158" s="39">
        <v>17.55</v>
      </c>
      <c r="H158" s="39">
        <f t="shared" si="12"/>
        <v>175.5</v>
      </c>
    </row>
    <row r="159" spans="1:8" s="40" customFormat="1" ht="28.5" x14ac:dyDescent="0.25">
      <c r="A159" s="36" t="s">
        <v>950</v>
      </c>
      <c r="B159" s="62" t="s">
        <v>19</v>
      </c>
      <c r="C159" s="62" t="s">
        <v>281</v>
      </c>
      <c r="D159" s="37" t="s">
        <v>282</v>
      </c>
      <c r="E159" s="65" t="s">
        <v>15</v>
      </c>
      <c r="F159" s="38">
        <v>10</v>
      </c>
      <c r="G159" s="39">
        <v>18.87</v>
      </c>
      <c r="H159" s="39">
        <f t="shared" si="12"/>
        <v>188.70000000000002</v>
      </c>
    </row>
    <row r="160" spans="1:8" s="40" customFormat="1" ht="28.5" x14ac:dyDescent="0.25">
      <c r="A160" s="36" t="s">
        <v>951</v>
      </c>
      <c r="B160" s="62" t="s">
        <v>19</v>
      </c>
      <c r="C160" s="62" t="s">
        <v>283</v>
      </c>
      <c r="D160" s="37" t="s">
        <v>284</v>
      </c>
      <c r="E160" s="65" t="s">
        <v>15</v>
      </c>
      <c r="F160" s="38">
        <v>10</v>
      </c>
      <c r="G160" s="39">
        <v>24.12</v>
      </c>
      <c r="H160" s="39">
        <f t="shared" si="12"/>
        <v>241.20000000000002</v>
      </c>
    </row>
    <row r="161" spans="1:8" s="40" customFormat="1" x14ac:dyDescent="0.25">
      <c r="A161" s="36" t="s">
        <v>952</v>
      </c>
      <c r="B161" s="62" t="s">
        <v>19</v>
      </c>
      <c r="C161" s="62" t="s">
        <v>285</v>
      </c>
      <c r="D161" s="37" t="s">
        <v>286</v>
      </c>
      <c r="E161" s="65" t="s">
        <v>28</v>
      </c>
      <c r="F161" s="38">
        <v>300</v>
      </c>
      <c r="G161" s="39">
        <v>18.66</v>
      </c>
      <c r="H161" s="39">
        <f t="shared" si="12"/>
        <v>5598</v>
      </c>
    </row>
    <row r="162" spans="1:8" s="40" customFormat="1" x14ac:dyDescent="0.25">
      <c r="A162" s="36" t="s">
        <v>953</v>
      </c>
      <c r="B162" s="62" t="s">
        <v>19</v>
      </c>
      <c r="C162" s="62" t="s">
        <v>287</v>
      </c>
      <c r="D162" s="37" t="s">
        <v>288</v>
      </c>
      <c r="E162" s="65" t="s">
        <v>15</v>
      </c>
      <c r="F162" s="38">
        <v>80</v>
      </c>
      <c r="G162" s="39">
        <v>15.91</v>
      </c>
      <c r="H162" s="39">
        <f t="shared" si="12"/>
        <v>1272.8</v>
      </c>
    </row>
    <row r="163" spans="1:8" s="40" customFormat="1" x14ac:dyDescent="0.25">
      <c r="A163" s="36" t="s">
        <v>954</v>
      </c>
      <c r="B163" s="62" t="s">
        <v>19</v>
      </c>
      <c r="C163" s="62" t="s">
        <v>289</v>
      </c>
      <c r="D163" s="37" t="s">
        <v>290</v>
      </c>
      <c r="E163" s="65" t="s">
        <v>15</v>
      </c>
      <c r="F163" s="38">
        <v>9</v>
      </c>
      <c r="G163" s="39">
        <v>17.25</v>
      </c>
      <c r="H163" s="39">
        <f t="shared" si="12"/>
        <v>155.25</v>
      </c>
    </row>
    <row r="164" spans="1:8" s="40" customFormat="1" x14ac:dyDescent="0.25">
      <c r="A164" s="36" t="s">
        <v>955</v>
      </c>
      <c r="B164" s="62" t="s">
        <v>19</v>
      </c>
      <c r="C164" s="62" t="s">
        <v>291</v>
      </c>
      <c r="D164" s="37" t="s">
        <v>292</v>
      </c>
      <c r="E164" s="65" t="s">
        <v>15</v>
      </c>
      <c r="F164" s="38">
        <v>65</v>
      </c>
      <c r="G164" s="39">
        <v>19.57</v>
      </c>
      <c r="H164" s="39">
        <f t="shared" si="12"/>
        <v>1272.05</v>
      </c>
    </row>
    <row r="165" spans="1:8" s="40" customFormat="1" x14ac:dyDescent="0.25">
      <c r="A165" s="36" t="s">
        <v>956</v>
      </c>
      <c r="B165" s="62" t="s">
        <v>19</v>
      </c>
      <c r="C165" s="62" t="s">
        <v>293</v>
      </c>
      <c r="D165" s="37" t="s">
        <v>294</v>
      </c>
      <c r="E165" s="65" t="s">
        <v>15</v>
      </c>
      <c r="F165" s="38">
        <v>13</v>
      </c>
      <c r="G165" s="39">
        <v>82.67</v>
      </c>
      <c r="H165" s="39">
        <f t="shared" si="12"/>
        <v>1074.71</v>
      </c>
    </row>
    <row r="166" spans="1:8" s="40" customFormat="1" x14ac:dyDescent="0.25">
      <c r="A166" s="36" t="s">
        <v>957</v>
      </c>
      <c r="B166" s="62" t="s">
        <v>19</v>
      </c>
      <c r="C166" s="62" t="s">
        <v>295</v>
      </c>
      <c r="D166" s="37" t="s">
        <v>296</v>
      </c>
      <c r="E166" s="63" t="s">
        <v>330</v>
      </c>
      <c r="F166" s="38">
        <v>10</v>
      </c>
      <c r="G166" s="39">
        <v>29.12</v>
      </c>
      <c r="H166" s="39">
        <f t="shared" si="12"/>
        <v>291.2</v>
      </c>
    </row>
    <row r="167" spans="1:8" s="40" customFormat="1" x14ac:dyDescent="0.25">
      <c r="A167" s="36" t="s">
        <v>958</v>
      </c>
      <c r="B167" s="62" t="s">
        <v>19</v>
      </c>
      <c r="C167" s="62" t="s">
        <v>297</v>
      </c>
      <c r="D167" s="37" t="s">
        <v>298</v>
      </c>
      <c r="E167" s="63" t="s">
        <v>330</v>
      </c>
      <c r="F167" s="38">
        <v>55</v>
      </c>
      <c r="G167" s="39">
        <v>49.56</v>
      </c>
      <c r="H167" s="39">
        <f t="shared" si="12"/>
        <v>2725.8</v>
      </c>
    </row>
    <row r="168" spans="1:8" s="40" customFormat="1" ht="28.5" x14ac:dyDescent="0.25">
      <c r="A168" s="36" t="s">
        <v>959</v>
      </c>
      <c r="B168" s="62" t="s">
        <v>19</v>
      </c>
      <c r="C168" s="62" t="s">
        <v>299</v>
      </c>
      <c r="D168" s="37" t="s">
        <v>300</v>
      </c>
      <c r="E168" s="63" t="s">
        <v>330</v>
      </c>
      <c r="F168" s="38">
        <v>8</v>
      </c>
      <c r="G168" s="39">
        <v>42.43</v>
      </c>
      <c r="H168" s="39">
        <f t="shared" si="12"/>
        <v>339.44</v>
      </c>
    </row>
    <row r="169" spans="1:8" s="40" customFormat="1" x14ac:dyDescent="0.25">
      <c r="A169" s="36" t="s">
        <v>960</v>
      </c>
      <c r="B169" s="62" t="s">
        <v>19</v>
      </c>
      <c r="C169" s="62" t="s">
        <v>301</v>
      </c>
      <c r="D169" s="37" t="s">
        <v>302</v>
      </c>
      <c r="E169" s="63" t="s">
        <v>330</v>
      </c>
      <c r="F169" s="38">
        <v>11</v>
      </c>
      <c r="G169" s="39">
        <v>32.76</v>
      </c>
      <c r="H169" s="39">
        <f t="shared" si="12"/>
        <v>360.35999999999996</v>
      </c>
    </row>
    <row r="170" spans="1:8" s="40" customFormat="1" x14ac:dyDescent="0.25">
      <c r="A170" s="36" t="s">
        <v>961</v>
      </c>
      <c r="B170" s="62" t="s">
        <v>19</v>
      </c>
      <c r="C170" s="62" t="s">
        <v>303</v>
      </c>
      <c r="D170" s="37" t="s">
        <v>304</v>
      </c>
      <c r="E170" s="63" t="s">
        <v>330</v>
      </c>
      <c r="F170" s="38">
        <v>14</v>
      </c>
      <c r="G170" s="39">
        <v>43.22</v>
      </c>
      <c r="H170" s="39">
        <f t="shared" si="12"/>
        <v>605.07999999999993</v>
      </c>
    </row>
    <row r="171" spans="1:8" s="40" customFormat="1" x14ac:dyDescent="0.25">
      <c r="A171" s="36" t="s">
        <v>962</v>
      </c>
      <c r="B171" s="62" t="s">
        <v>19</v>
      </c>
      <c r="C171" s="62" t="s">
        <v>305</v>
      </c>
      <c r="D171" s="37" t="s">
        <v>306</v>
      </c>
      <c r="E171" s="63" t="s">
        <v>330</v>
      </c>
      <c r="F171" s="38">
        <v>2</v>
      </c>
      <c r="G171" s="39">
        <v>54.19</v>
      </c>
      <c r="H171" s="39">
        <f t="shared" si="12"/>
        <v>108.38</v>
      </c>
    </row>
    <row r="172" spans="1:8" s="40" customFormat="1" x14ac:dyDescent="0.25">
      <c r="A172" s="36" t="s">
        <v>963</v>
      </c>
      <c r="B172" s="62" t="s">
        <v>19</v>
      </c>
      <c r="C172" s="62" t="s">
        <v>307</v>
      </c>
      <c r="D172" s="37" t="s">
        <v>308</v>
      </c>
      <c r="E172" s="63" t="s">
        <v>330</v>
      </c>
      <c r="F172" s="38">
        <v>4</v>
      </c>
      <c r="G172" s="39">
        <v>33.270000000000003</v>
      </c>
      <c r="H172" s="39">
        <f t="shared" si="12"/>
        <v>133.08000000000001</v>
      </c>
    </row>
    <row r="173" spans="1:8" s="40" customFormat="1" ht="28.5" x14ac:dyDescent="0.25">
      <c r="A173" s="36" t="s">
        <v>964</v>
      </c>
      <c r="B173" s="62" t="s">
        <v>19</v>
      </c>
      <c r="C173" s="62" t="s">
        <v>309</v>
      </c>
      <c r="D173" s="37" t="s">
        <v>310</v>
      </c>
      <c r="E173" s="65" t="s">
        <v>15</v>
      </c>
      <c r="F173" s="38">
        <v>16</v>
      </c>
      <c r="G173" s="39">
        <v>19.91</v>
      </c>
      <c r="H173" s="39">
        <f t="shared" si="12"/>
        <v>318.56</v>
      </c>
    </row>
    <row r="174" spans="1:8" s="40" customFormat="1" ht="28.5" x14ac:dyDescent="0.25">
      <c r="A174" s="36" t="s">
        <v>965</v>
      </c>
      <c r="B174" s="62" t="s">
        <v>19</v>
      </c>
      <c r="C174" s="62" t="s">
        <v>311</v>
      </c>
      <c r="D174" s="37" t="s">
        <v>312</v>
      </c>
      <c r="E174" s="65" t="s">
        <v>15</v>
      </c>
      <c r="F174" s="38">
        <v>16</v>
      </c>
      <c r="G174" s="39">
        <v>12.04</v>
      </c>
      <c r="H174" s="39">
        <f t="shared" si="12"/>
        <v>192.64</v>
      </c>
    </row>
    <row r="175" spans="1:8" s="40" customFormat="1" ht="42.75" x14ac:dyDescent="0.25">
      <c r="A175" s="36" t="s">
        <v>966</v>
      </c>
      <c r="B175" s="62" t="s">
        <v>19</v>
      </c>
      <c r="C175" s="62" t="s">
        <v>313</v>
      </c>
      <c r="D175" s="37" t="s">
        <v>314</v>
      </c>
      <c r="E175" s="63" t="s">
        <v>28</v>
      </c>
      <c r="F175" s="38">
        <v>52</v>
      </c>
      <c r="G175" s="39">
        <v>107.9</v>
      </c>
      <c r="H175" s="39">
        <f t="shared" si="12"/>
        <v>5610.8</v>
      </c>
    </row>
    <row r="176" spans="1:8" s="40" customFormat="1" ht="28.5" x14ac:dyDescent="0.25">
      <c r="A176" s="36" t="s">
        <v>967</v>
      </c>
      <c r="B176" s="62" t="s">
        <v>19</v>
      </c>
      <c r="C176" s="62" t="s">
        <v>315</v>
      </c>
      <c r="D176" s="37" t="s">
        <v>316</v>
      </c>
      <c r="E176" s="65" t="s">
        <v>15</v>
      </c>
      <c r="F176" s="38">
        <v>15</v>
      </c>
      <c r="G176" s="39">
        <v>69.7</v>
      </c>
      <c r="H176" s="39">
        <f t="shared" si="12"/>
        <v>1045.5</v>
      </c>
    </row>
    <row r="177" spans="1:9" s="40" customFormat="1" ht="28.5" x14ac:dyDescent="0.25">
      <c r="A177" s="36" t="s">
        <v>968</v>
      </c>
      <c r="B177" s="62" t="s">
        <v>19</v>
      </c>
      <c r="C177" s="62" t="s">
        <v>317</v>
      </c>
      <c r="D177" s="37" t="s">
        <v>318</v>
      </c>
      <c r="E177" s="65" t="s">
        <v>15</v>
      </c>
      <c r="F177" s="38">
        <v>20</v>
      </c>
      <c r="G177" s="39">
        <v>100.81</v>
      </c>
      <c r="H177" s="39">
        <f t="shared" si="12"/>
        <v>2016.2</v>
      </c>
    </row>
    <row r="178" spans="1:9" s="40" customFormat="1" ht="42.75" x14ac:dyDescent="0.25">
      <c r="A178" s="36" t="s">
        <v>969</v>
      </c>
      <c r="B178" s="62" t="s">
        <v>19</v>
      </c>
      <c r="C178" s="62" t="s">
        <v>884</v>
      </c>
      <c r="D178" s="37" t="s">
        <v>885</v>
      </c>
      <c r="E178" s="65" t="s">
        <v>15</v>
      </c>
      <c r="F178" s="38">
        <v>5</v>
      </c>
      <c r="G178" s="39">
        <v>174.93</v>
      </c>
      <c r="H178" s="39">
        <f t="shared" si="12"/>
        <v>874.65000000000009</v>
      </c>
    </row>
    <row r="179" spans="1:9" s="40" customFormat="1" ht="42.75" x14ac:dyDescent="0.25">
      <c r="A179" s="36" t="s">
        <v>970</v>
      </c>
      <c r="B179" s="62" t="s">
        <v>19</v>
      </c>
      <c r="C179" s="62" t="s">
        <v>319</v>
      </c>
      <c r="D179" s="37" t="s">
        <v>320</v>
      </c>
      <c r="E179" s="65" t="s">
        <v>15</v>
      </c>
      <c r="F179" s="38">
        <v>21</v>
      </c>
      <c r="G179" s="39">
        <v>244.42</v>
      </c>
      <c r="H179" s="39">
        <f t="shared" si="12"/>
        <v>5132.82</v>
      </c>
    </row>
    <row r="180" spans="1:9" s="40" customFormat="1" ht="42.75" x14ac:dyDescent="0.25">
      <c r="A180" s="36" t="s">
        <v>971</v>
      </c>
      <c r="B180" s="62" t="s">
        <v>19</v>
      </c>
      <c r="C180" s="62" t="s">
        <v>886</v>
      </c>
      <c r="D180" s="37" t="s">
        <v>887</v>
      </c>
      <c r="E180" s="65" t="s">
        <v>15</v>
      </c>
      <c r="F180" s="38">
        <v>23</v>
      </c>
      <c r="G180" s="39">
        <v>100.93</v>
      </c>
      <c r="H180" s="39">
        <f t="shared" si="12"/>
        <v>2321.3900000000003</v>
      </c>
    </row>
    <row r="181" spans="1:9" s="40" customFormat="1" ht="28.5" x14ac:dyDescent="0.25">
      <c r="A181" s="36" t="s">
        <v>972</v>
      </c>
      <c r="B181" s="62" t="s">
        <v>19</v>
      </c>
      <c r="C181" s="62" t="s">
        <v>321</v>
      </c>
      <c r="D181" s="37" t="s">
        <v>322</v>
      </c>
      <c r="E181" s="65" t="s">
        <v>15</v>
      </c>
      <c r="F181" s="38">
        <v>1</v>
      </c>
      <c r="G181" s="39">
        <v>422.05</v>
      </c>
      <c r="H181" s="39">
        <f t="shared" si="12"/>
        <v>422.05</v>
      </c>
    </row>
    <row r="182" spans="1:9" s="40" customFormat="1" ht="28.5" x14ac:dyDescent="0.25">
      <c r="A182" s="36" t="s">
        <v>973</v>
      </c>
      <c r="B182" s="62" t="s">
        <v>19</v>
      </c>
      <c r="C182" s="62" t="s">
        <v>323</v>
      </c>
      <c r="D182" s="37" t="s">
        <v>324</v>
      </c>
      <c r="E182" s="63" t="s">
        <v>330</v>
      </c>
      <c r="F182" s="38">
        <v>3</v>
      </c>
      <c r="G182" s="39">
        <v>15391.12</v>
      </c>
      <c r="H182" s="39">
        <f t="shared" si="12"/>
        <v>46173.36</v>
      </c>
    </row>
    <row r="183" spans="1:9" s="40" customFormat="1" ht="28.5" x14ac:dyDescent="0.25">
      <c r="A183" s="36" t="s">
        <v>974</v>
      </c>
      <c r="B183" s="62" t="s">
        <v>19</v>
      </c>
      <c r="C183" s="62" t="s">
        <v>325</v>
      </c>
      <c r="D183" s="37" t="s">
        <v>326</v>
      </c>
      <c r="E183" s="63" t="s">
        <v>330</v>
      </c>
      <c r="F183" s="38">
        <v>2</v>
      </c>
      <c r="G183" s="39">
        <v>9657.65</v>
      </c>
      <c r="H183" s="39">
        <f t="shared" si="12"/>
        <v>19315.3</v>
      </c>
    </row>
    <row r="184" spans="1:9" s="40" customFormat="1" ht="28.5" x14ac:dyDescent="0.25">
      <c r="A184" s="36" t="s">
        <v>975</v>
      </c>
      <c r="B184" s="62" t="s">
        <v>19</v>
      </c>
      <c r="C184" s="62" t="s">
        <v>327</v>
      </c>
      <c r="D184" s="37" t="s">
        <v>328</v>
      </c>
      <c r="E184" s="63" t="s">
        <v>330</v>
      </c>
      <c r="F184" s="38">
        <v>3</v>
      </c>
      <c r="G184" s="39">
        <v>11011.55</v>
      </c>
      <c r="H184" s="39">
        <f t="shared" si="12"/>
        <v>33034.649999999994</v>
      </c>
    </row>
    <row r="185" spans="1:9" s="40" customFormat="1" ht="28.5" x14ac:dyDescent="0.25">
      <c r="A185" s="36" t="s">
        <v>976</v>
      </c>
      <c r="B185" s="62" t="s">
        <v>19</v>
      </c>
      <c r="C185" s="62" t="s">
        <v>888</v>
      </c>
      <c r="D185" s="37" t="s">
        <v>889</v>
      </c>
      <c r="E185" s="65" t="s">
        <v>15</v>
      </c>
      <c r="F185" s="38">
        <v>2</v>
      </c>
      <c r="G185" s="39">
        <v>487.14</v>
      </c>
      <c r="H185" s="39">
        <f t="shared" si="12"/>
        <v>974.28</v>
      </c>
    </row>
    <row r="186" spans="1:9" s="40" customFormat="1" ht="28.5" x14ac:dyDescent="0.25">
      <c r="A186" s="36" t="s">
        <v>977</v>
      </c>
      <c r="B186" s="62" t="s">
        <v>19</v>
      </c>
      <c r="C186" s="62" t="s">
        <v>890</v>
      </c>
      <c r="D186" s="37" t="s">
        <v>891</v>
      </c>
      <c r="E186" s="65" t="s">
        <v>15</v>
      </c>
      <c r="F186" s="38">
        <v>1</v>
      </c>
      <c r="G186" s="39">
        <v>386.09</v>
      </c>
      <c r="H186" s="39">
        <f t="shared" si="12"/>
        <v>386.09</v>
      </c>
    </row>
    <row r="187" spans="1:9" ht="15" x14ac:dyDescent="0.25">
      <c r="A187" s="19" t="s">
        <v>978</v>
      </c>
      <c r="B187" s="19"/>
      <c r="C187" s="20"/>
      <c r="D187" s="21" t="s">
        <v>344</v>
      </c>
      <c r="E187" s="19"/>
      <c r="F187" s="22"/>
      <c r="G187" s="4"/>
      <c r="H187" s="4">
        <f>SUM(H188:H206)</f>
        <v>89685.75</v>
      </c>
      <c r="I187" s="28"/>
    </row>
    <row r="188" spans="1:9" s="40" customFormat="1" ht="28.5" x14ac:dyDescent="0.25">
      <c r="A188" s="36" t="s">
        <v>979</v>
      </c>
      <c r="B188" s="62" t="s">
        <v>19</v>
      </c>
      <c r="C188" s="62" t="s">
        <v>814</v>
      </c>
      <c r="D188" s="37" t="s">
        <v>815</v>
      </c>
      <c r="E188" s="65" t="s">
        <v>28</v>
      </c>
      <c r="F188" s="38">
        <v>650</v>
      </c>
      <c r="G188" s="39">
        <v>43.22</v>
      </c>
      <c r="H188" s="39">
        <f t="shared" si="12"/>
        <v>28093</v>
      </c>
    </row>
    <row r="189" spans="1:9" s="40" customFormat="1" ht="28.5" x14ac:dyDescent="0.25">
      <c r="A189" s="36" t="s">
        <v>980</v>
      </c>
      <c r="B189" s="62" t="s">
        <v>19</v>
      </c>
      <c r="C189" s="62" t="s">
        <v>816</v>
      </c>
      <c r="D189" s="37" t="s">
        <v>817</v>
      </c>
      <c r="E189" s="65" t="s">
        <v>28</v>
      </c>
      <c r="F189" s="38">
        <v>550</v>
      </c>
      <c r="G189" s="39">
        <v>59.49</v>
      </c>
      <c r="H189" s="39">
        <f t="shared" si="12"/>
        <v>32719.5</v>
      </c>
    </row>
    <row r="190" spans="1:9" s="40" customFormat="1" ht="28.5" x14ac:dyDescent="0.25">
      <c r="A190" s="36" t="s">
        <v>981</v>
      </c>
      <c r="B190" s="62" t="s">
        <v>19</v>
      </c>
      <c r="C190" s="62" t="s">
        <v>818</v>
      </c>
      <c r="D190" s="37" t="s">
        <v>819</v>
      </c>
      <c r="E190" s="65" t="s">
        <v>15</v>
      </c>
      <c r="F190" s="38">
        <v>100</v>
      </c>
      <c r="G190" s="39">
        <v>16.8</v>
      </c>
      <c r="H190" s="39">
        <f t="shared" si="12"/>
        <v>1680</v>
      </c>
    </row>
    <row r="191" spans="1:9" s="40" customFormat="1" ht="28.5" x14ac:dyDescent="0.25">
      <c r="A191" s="36" t="s">
        <v>982</v>
      </c>
      <c r="B191" s="62" t="s">
        <v>19</v>
      </c>
      <c r="C191" s="62" t="s">
        <v>820</v>
      </c>
      <c r="D191" s="37" t="s">
        <v>821</v>
      </c>
      <c r="E191" s="65" t="s">
        <v>15</v>
      </c>
      <c r="F191" s="38">
        <v>10</v>
      </c>
      <c r="G191" s="39">
        <v>24.75</v>
      </c>
      <c r="H191" s="39">
        <f t="shared" si="12"/>
        <v>247.5</v>
      </c>
    </row>
    <row r="192" spans="1:9" s="40" customFormat="1" ht="28.5" x14ac:dyDescent="0.25">
      <c r="A192" s="36" t="s">
        <v>983</v>
      </c>
      <c r="B192" s="62" t="s">
        <v>19</v>
      </c>
      <c r="C192" s="62" t="s">
        <v>822</v>
      </c>
      <c r="D192" s="37" t="s">
        <v>823</v>
      </c>
      <c r="E192" s="65" t="s">
        <v>15</v>
      </c>
      <c r="F192" s="38">
        <v>34</v>
      </c>
      <c r="G192" s="39">
        <v>28.39</v>
      </c>
      <c r="H192" s="39">
        <f t="shared" si="12"/>
        <v>965.26</v>
      </c>
    </row>
    <row r="193" spans="1:9" s="40" customFormat="1" ht="28.5" x14ac:dyDescent="0.25">
      <c r="A193" s="36" t="s">
        <v>984</v>
      </c>
      <c r="B193" s="62" t="s">
        <v>19</v>
      </c>
      <c r="C193" s="62" t="s">
        <v>824</v>
      </c>
      <c r="D193" s="37" t="s">
        <v>825</v>
      </c>
      <c r="E193" s="65" t="s">
        <v>15</v>
      </c>
      <c r="F193" s="38">
        <v>400</v>
      </c>
      <c r="G193" s="39">
        <v>32.75</v>
      </c>
      <c r="H193" s="39">
        <f t="shared" si="12"/>
        <v>13100</v>
      </c>
    </row>
    <row r="194" spans="1:9" s="40" customFormat="1" ht="28.5" x14ac:dyDescent="0.25">
      <c r="A194" s="36" t="s">
        <v>985</v>
      </c>
      <c r="B194" s="62" t="s">
        <v>19</v>
      </c>
      <c r="C194" s="62" t="s">
        <v>345</v>
      </c>
      <c r="D194" s="37" t="s">
        <v>346</v>
      </c>
      <c r="E194" s="65" t="s">
        <v>15</v>
      </c>
      <c r="F194" s="38">
        <v>26</v>
      </c>
      <c r="G194" s="39">
        <v>30.32</v>
      </c>
      <c r="H194" s="39">
        <f t="shared" si="12"/>
        <v>788.32</v>
      </c>
    </row>
    <row r="195" spans="1:9" s="40" customFormat="1" ht="28.5" x14ac:dyDescent="0.25">
      <c r="A195" s="36" t="s">
        <v>986</v>
      </c>
      <c r="B195" s="62" t="s">
        <v>19</v>
      </c>
      <c r="C195" s="62" t="s">
        <v>826</v>
      </c>
      <c r="D195" s="37" t="s">
        <v>827</v>
      </c>
      <c r="E195" s="65" t="s">
        <v>15</v>
      </c>
      <c r="F195" s="38">
        <v>40</v>
      </c>
      <c r="G195" s="39">
        <v>20.95</v>
      </c>
      <c r="H195" s="39">
        <f t="shared" si="12"/>
        <v>838</v>
      </c>
    </row>
    <row r="196" spans="1:9" s="40" customFormat="1" x14ac:dyDescent="0.25">
      <c r="A196" s="36" t="s">
        <v>987</v>
      </c>
      <c r="B196" s="62" t="s">
        <v>19</v>
      </c>
      <c r="C196" s="62" t="s">
        <v>828</v>
      </c>
      <c r="D196" s="37" t="s">
        <v>829</v>
      </c>
      <c r="E196" s="65" t="s">
        <v>15</v>
      </c>
      <c r="F196" s="38">
        <v>26</v>
      </c>
      <c r="G196" s="39">
        <v>75.489999999999995</v>
      </c>
      <c r="H196" s="39">
        <f t="shared" si="12"/>
        <v>1962.7399999999998</v>
      </c>
    </row>
    <row r="197" spans="1:9" s="40" customFormat="1" x14ac:dyDescent="0.25">
      <c r="A197" s="36" t="s">
        <v>988</v>
      </c>
      <c r="B197" s="62" t="s">
        <v>19</v>
      </c>
      <c r="C197" s="62" t="s">
        <v>347</v>
      </c>
      <c r="D197" s="37" t="s">
        <v>348</v>
      </c>
      <c r="E197" s="65" t="s">
        <v>15</v>
      </c>
      <c r="F197" s="38">
        <v>3</v>
      </c>
      <c r="G197" s="39">
        <v>9.3000000000000007</v>
      </c>
      <c r="H197" s="39">
        <f t="shared" si="12"/>
        <v>27.900000000000002</v>
      </c>
    </row>
    <row r="198" spans="1:9" s="40" customFormat="1" x14ac:dyDescent="0.25">
      <c r="A198" s="36" t="s">
        <v>989</v>
      </c>
      <c r="B198" s="62" t="s">
        <v>19</v>
      </c>
      <c r="C198" s="62" t="s">
        <v>349</v>
      </c>
      <c r="D198" s="37" t="s">
        <v>350</v>
      </c>
      <c r="E198" s="65" t="s">
        <v>15</v>
      </c>
      <c r="F198" s="38">
        <v>20</v>
      </c>
      <c r="G198" s="39">
        <v>205.75</v>
      </c>
      <c r="H198" s="39">
        <f t="shared" si="12"/>
        <v>4115</v>
      </c>
    </row>
    <row r="199" spans="1:9" s="40" customFormat="1" ht="28.5" x14ac:dyDescent="0.25">
      <c r="A199" s="36" t="s">
        <v>990</v>
      </c>
      <c r="B199" s="62" t="s">
        <v>19</v>
      </c>
      <c r="C199" s="62" t="s">
        <v>830</v>
      </c>
      <c r="D199" s="37" t="s">
        <v>831</v>
      </c>
      <c r="E199" s="65" t="s">
        <v>15</v>
      </c>
      <c r="F199" s="38">
        <v>10</v>
      </c>
      <c r="G199" s="39">
        <v>61.85</v>
      </c>
      <c r="H199" s="39">
        <f t="shared" si="12"/>
        <v>618.5</v>
      </c>
    </row>
    <row r="200" spans="1:9" s="40" customFormat="1" ht="28.5" x14ac:dyDescent="0.25">
      <c r="A200" s="36" t="s">
        <v>991</v>
      </c>
      <c r="B200" s="62" t="s">
        <v>19</v>
      </c>
      <c r="C200" s="62" t="s">
        <v>351</v>
      </c>
      <c r="D200" s="37" t="s">
        <v>352</v>
      </c>
      <c r="E200" s="65" t="s">
        <v>15</v>
      </c>
      <c r="F200" s="38">
        <v>26</v>
      </c>
      <c r="G200" s="39">
        <v>19.28</v>
      </c>
      <c r="H200" s="39">
        <f t="shared" si="12"/>
        <v>501.28000000000003</v>
      </c>
    </row>
    <row r="201" spans="1:9" s="40" customFormat="1" ht="28.5" x14ac:dyDescent="0.25">
      <c r="A201" s="36" t="s">
        <v>992</v>
      </c>
      <c r="B201" s="62" t="s">
        <v>19</v>
      </c>
      <c r="C201" s="62" t="s">
        <v>353</v>
      </c>
      <c r="D201" s="37" t="s">
        <v>354</v>
      </c>
      <c r="E201" s="65" t="s">
        <v>15</v>
      </c>
      <c r="F201" s="38">
        <v>16</v>
      </c>
      <c r="G201" s="39">
        <v>31.65</v>
      </c>
      <c r="H201" s="39">
        <f t="shared" si="12"/>
        <v>506.4</v>
      </c>
    </row>
    <row r="202" spans="1:9" s="40" customFormat="1" ht="28.5" x14ac:dyDescent="0.25">
      <c r="A202" s="36" t="s">
        <v>993</v>
      </c>
      <c r="B202" s="62" t="s">
        <v>19</v>
      </c>
      <c r="C202" s="62" t="s">
        <v>355</v>
      </c>
      <c r="D202" s="37" t="s">
        <v>356</v>
      </c>
      <c r="E202" s="65" t="s">
        <v>15</v>
      </c>
      <c r="F202" s="38">
        <v>5</v>
      </c>
      <c r="G202" s="39">
        <v>48.2</v>
      </c>
      <c r="H202" s="39">
        <f t="shared" si="12"/>
        <v>241</v>
      </c>
    </row>
    <row r="203" spans="1:9" s="40" customFormat="1" ht="28.5" x14ac:dyDescent="0.25">
      <c r="A203" s="36" t="s">
        <v>994</v>
      </c>
      <c r="B203" s="62" t="s">
        <v>19</v>
      </c>
      <c r="C203" s="62" t="s">
        <v>342</v>
      </c>
      <c r="D203" s="37" t="s">
        <v>343</v>
      </c>
      <c r="E203" s="65" t="s">
        <v>15</v>
      </c>
      <c r="F203" s="38">
        <v>10</v>
      </c>
      <c r="G203" s="39">
        <v>47.69</v>
      </c>
      <c r="H203" s="39">
        <f t="shared" si="12"/>
        <v>476.9</v>
      </c>
    </row>
    <row r="204" spans="1:9" s="40" customFormat="1" ht="28.5" x14ac:dyDescent="0.25">
      <c r="A204" s="36" t="s">
        <v>995</v>
      </c>
      <c r="B204" s="62" t="s">
        <v>19</v>
      </c>
      <c r="C204" s="62" t="s">
        <v>357</v>
      </c>
      <c r="D204" s="37" t="s">
        <v>358</v>
      </c>
      <c r="E204" s="65" t="s">
        <v>15</v>
      </c>
      <c r="F204" s="38">
        <v>20</v>
      </c>
      <c r="G204" s="39">
        <v>38.619999999999997</v>
      </c>
      <c r="H204" s="39">
        <f t="shared" si="12"/>
        <v>772.4</v>
      </c>
    </row>
    <row r="205" spans="1:9" s="40" customFormat="1" ht="42.75" x14ac:dyDescent="0.25">
      <c r="A205" s="36" t="s">
        <v>996</v>
      </c>
      <c r="B205" s="62" t="s">
        <v>19</v>
      </c>
      <c r="C205" s="62" t="s">
        <v>359</v>
      </c>
      <c r="D205" s="37" t="s">
        <v>360</v>
      </c>
      <c r="E205" s="65" t="s">
        <v>15</v>
      </c>
      <c r="F205" s="38">
        <v>26</v>
      </c>
      <c r="G205" s="39">
        <v>68.75</v>
      </c>
      <c r="H205" s="39">
        <f t="shared" si="12"/>
        <v>1787.5</v>
      </c>
    </row>
    <row r="206" spans="1:9" s="40" customFormat="1" ht="42.75" x14ac:dyDescent="0.25">
      <c r="A206" s="36" t="s">
        <v>997</v>
      </c>
      <c r="B206" s="62" t="s">
        <v>19</v>
      </c>
      <c r="C206" s="62" t="s">
        <v>361</v>
      </c>
      <c r="D206" s="37" t="s">
        <v>362</v>
      </c>
      <c r="E206" s="65" t="s">
        <v>15</v>
      </c>
      <c r="F206" s="38">
        <v>5</v>
      </c>
      <c r="G206" s="39">
        <v>48.91</v>
      </c>
      <c r="H206" s="39">
        <f t="shared" si="12"/>
        <v>244.54999999999998</v>
      </c>
    </row>
    <row r="207" spans="1:9" s="14" customFormat="1" ht="15" x14ac:dyDescent="0.25">
      <c r="A207" s="10">
        <v>9</v>
      </c>
      <c r="B207" s="10"/>
      <c r="C207" s="11"/>
      <c r="D207" s="12" t="s">
        <v>540</v>
      </c>
      <c r="E207" s="10"/>
      <c r="F207" s="13"/>
      <c r="G207" s="3"/>
      <c r="H207" s="3">
        <f>SUM(H208:H215)</f>
        <v>10314.52958</v>
      </c>
      <c r="I207" s="28"/>
    </row>
    <row r="208" spans="1:9" s="40" customFormat="1" ht="28.5" x14ac:dyDescent="0.25">
      <c r="A208" s="36" t="s">
        <v>59</v>
      </c>
      <c r="B208" s="62" t="s">
        <v>19</v>
      </c>
      <c r="C208" s="62" t="s">
        <v>542</v>
      </c>
      <c r="D208" s="37" t="s">
        <v>541</v>
      </c>
      <c r="E208" s="65" t="s">
        <v>34</v>
      </c>
      <c r="F208" s="38">
        <f>((0.17*0.15)*12)+(0.93*0.2)</f>
        <v>0.4920000000000001</v>
      </c>
      <c r="G208" s="39">
        <v>5784.74</v>
      </c>
      <c r="H208" s="39">
        <f t="shared" si="12"/>
        <v>2846.0920800000004</v>
      </c>
    </row>
    <row r="209" spans="1:9" s="40" customFormat="1" x14ac:dyDescent="0.25">
      <c r="A209" s="36" t="s">
        <v>66</v>
      </c>
      <c r="B209" s="62" t="s">
        <v>19</v>
      </c>
      <c r="C209" s="62" t="s">
        <v>422</v>
      </c>
      <c r="D209" s="17" t="s">
        <v>416</v>
      </c>
      <c r="E209" s="65" t="s">
        <v>13</v>
      </c>
      <c r="F209" s="38">
        <v>25</v>
      </c>
      <c r="G209" s="39">
        <f>COMPOSIÇÕES!F26</f>
        <v>60.418500000000002</v>
      </c>
      <c r="H209" s="39">
        <f t="shared" ref="H209:H215" si="13">F209*G209</f>
        <v>1510.4625000000001</v>
      </c>
    </row>
    <row r="210" spans="1:9" s="40" customFormat="1" x14ac:dyDescent="0.25">
      <c r="A210" s="36" t="s">
        <v>67</v>
      </c>
      <c r="B210" s="62" t="s">
        <v>19</v>
      </c>
      <c r="C210" s="62" t="s">
        <v>423</v>
      </c>
      <c r="D210" s="17" t="s">
        <v>417</v>
      </c>
      <c r="E210" s="65" t="s">
        <v>13</v>
      </c>
      <c r="F210" s="38">
        <f>F209</f>
        <v>25</v>
      </c>
      <c r="G210" s="39">
        <f>COMPOSIÇÕES!F33</f>
        <v>19.318999999999999</v>
      </c>
      <c r="H210" s="39">
        <f t="shared" si="13"/>
        <v>482.97499999999997</v>
      </c>
    </row>
    <row r="211" spans="1:9" s="40" customFormat="1" ht="28.5" x14ac:dyDescent="0.25">
      <c r="A211" s="36" t="s">
        <v>481</v>
      </c>
      <c r="B211" s="62" t="s">
        <v>19</v>
      </c>
      <c r="C211" s="62" t="s">
        <v>424</v>
      </c>
      <c r="D211" s="17" t="s">
        <v>418</v>
      </c>
      <c r="E211" s="65" t="s">
        <v>13</v>
      </c>
      <c r="F211" s="38">
        <f>F210</f>
        <v>25</v>
      </c>
      <c r="G211" s="39">
        <v>10.33</v>
      </c>
      <c r="H211" s="39">
        <f t="shared" si="13"/>
        <v>258.25</v>
      </c>
    </row>
    <row r="212" spans="1:9" s="40" customFormat="1" x14ac:dyDescent="0.25">
      <c r="A212" s="36" t="s">
        <v>482</v>
      </c>
      <c r="B212" s="62"/>
      <c r="C212" s="62" t="s">
        <v>543</v>
      </c>
      <c r="D212" s="17" t="s">
        <v>206</v>
      </c>
      <c r="E212" s="65" t="s">
        <v>13</v>
      </c>
      <c r="F212" s="38">
        <f>F211*40%</f>
        <v>10</v>
      </c>
      <c r="G212" s="39">
        <v>736.17</v>
      </c>
      <c r="H212" s="39"/>
    </row>
    <row r="213" spans="1:9" s="40" customFormat="1" x14ac:dyDescent="0.25">
      <c r="A213" s="36" t="s">
        <v>483</v>
      </c>
      <c r="B213" s="62" t="s">
        <v>19</v>
      </c>
      <c r="C213" s="62" t="s">
        <v>42</v>
      </c>
      <c r="D213" s="17" t="s">
        <v>39</v>
      </c>
      <c r="E213" s="65" t="s">
        <v>13</v>
      </c>
      <c r="F213" s="38">
        <f>F211</f>
        <v>25</v>
      </c>
      <c r="G213" s="39">
        <v>17.07</v>
      </c>
      <c r="H213" s="39">
        <f t="shared" si="13"/>
        <v>426.75</v>
      </c>
    </row>
    <row r="214" spans="1:9" s="40" customFormat="1" x14ac:dyDescent="0.25">
      <c r="A214" s="36" t="s">
        <v>484</v>
      </c>
      <c r="B214" s="62" t="s">
        <v>19</v>
      </c>
      <c r="C214" s="62" t="s">
        <v>427</v>
      </c>
      <c r="D214" s="17" t="s">
        <v>420</v>
      </c>
      <c r="E214" s="65" t="s">
        <v>13</v>
      </c>
      <c r="F214" s="38">
        <f>F211</f>
        <v>25</v>
      </c>
      <c r="G214" s="39">
        <v>26.13</v>
      </c>
      <c r="H214" s="39">
        <f t="shared" si="13"/>
        <v>653.25</v>
      </c>
    </row>
    <row r="215" spans="1:9" s="40" customFormat="1" x14ac:dyDescent="0.25">
      <c r="A215" s="36" t="s">
        <v>485</v>
      </c>
      <c r="B215" s="62" t="s">
        <v>19</v>
      </c>
      <c r="C215" s="62" t="s">
        <v>176</v>
      </c>
      <c r="D215" s="37" t="s">
        <v>175</v>
      </c>
      <c r="E215" s="65" t="s">
        <v>13</v>
      </c>
      <c r="F215" s="38">
        <f>F210</f>
        <v>25</v>
      </c>
      <c r="G215" s="39">
        <v>165.47</v>
      </c>
      <c r="H215" s="39">
        <f t="shared" si="13"/>
        <v>4136.75</v>
      </c>
    </row>
    <row r="216" spans="1:9" s="14" customFormat="1" ht="15" x14ac:dyDescent="0.25">
      <c r="A216" s="10">
        <v>10</v>
      </c>
      <c r="B216" s="10"/>
      <c r="C216" s="11"/>
      <c r="D216" s="12" t="s">
        <v>209</v>
      </c>
      <c r="E216" s="10"/>
      <c r="F216" s="13"/>
      <c r="G216" s="3"/>
      <c r="H216" s="3">
        <f>SUM(H217,H264,H277)</f>
        <v>216061.07950000002</v>
      </c>
      <c r="I216" s="28"/>
    </row>
    <row r="217" spans="1:9" ht="15" x14ac:dyDescent="0.25">
      <c r="A217" s="19" t="s">
        <v>183</v>
      </c>
      <c r="B217" s="19"/>
      <c r="C217" s="20"/>
      <c r="D217" s="21" t="s">
        <v>496</v>
      </c>
      <c r="E217" s="19"/>
      <c r="F217" s="22"/>
      <c r="G217" s="4"/>
      <c r="H217" s="4">
        <f>SUM(H218:H263)</f>
        <v>136442.0485</v>
      </c>
      <c r="I217" s="28"/>
    </row>
    <row r="218" spans="1:9" s="40" customFormat="1" x14ac:dyDescent="0.25">
      <c r="A218" s="36" t="s">
        <v>998</v>
      </c>
      <c r="B218" s="62" t="s">
        <v>19</v>
      </c>
      <c r="C218" s="62" t="s">
        <v>832</v>
      </c>
      <c r="D218" s="37" t="s">
        <v>497</v>
      </c>
      <c r="E218" s="63" t="s">
        <v>28</v>
      </c>
      <c r="F218" s="38">
        <v>240.6</v>
      </c>
      <c r="G218" s="39">
        <v>116.13</v>
      </c>
      <c r="H218" s="39">
        <f t="shared" ref="H218:H263" si="14">F218*G218</f>
        <v>27940.877999999997</v>
      </c>
    </row>
    <row r="219" spans="1:9" s="40" customFormat="1" x14ac:dyDescent="0.25">
      <c r="A219" s="36" t="s">
        <v>999</v>
      </c>
      <c r="B219" s="62" t="s">
        <v>19</v>
      </c>
      <c r="C219" s="62" t="s">
        <v>833</v>
      </c>
      <c r="D219" s="37" t="s">
        <v>498</v>
      </c>
      <c r="E219" s="63" t="s">
        <v>28</v>
      </c>
      <c r="F219" s="38">
        <v>40.25</v>
      </c>
      <c r="G219" s="39">
        <v>243.94</v>
      </c>
      <c r="H219" s="39">
        <f t="shared" si="14"/>
        <v>9818.5849999999991</v>
      </c>
    </row>
    <row r="220" spans="1:9" s="40" customFormat="1" x14ac:dyDescent="0.25">
      <c r="A220" s="36" t="s">
        <v>1000</v>
      </c>
      <c r="B220" s="62" t="s">
        <v>19</v>
      </c>
      <c r="C220" s="62" t="s">
        <v>834</v>
      </c>
      <c r="D220" s="37" t="s">
        <v>499</v>
      </c>
      <c r="E220" s="63" t="s">
        <v>28</v>
      </c>
      <c r="F220" s="38">
        <v>62.04999999999999</v>
      </c>
      <c r="G220" s="39">
        <v>34.03</v>
      </c>
      <c r="H220" s="39">
        <f t="shared" si="14"/>
        <v>2111.5614999999998</v>
      </c>
    </row>
    <row r="221" spans="1:9" s="40" customFormat="1" x14ac:dyDescent="0.25">
      <c r="A221" s="36" t="s">
        <v>1001</v>
      </c>
      <c r="B221" s="62" t="s">
        <v>19</v>
      </c>
      <c r="C221" s="62" t="s">
        <v>835</v>
      </c>
      <c r="D221" s="37" t="s">
        <v>500</v>
      </c>
      <c r="E221" s="63" t="s">
        <v>28</v>
      </c>
      <c r="F221" s="38">
        <v>160.5</v>
      </c>
      <c r="G221" s="39">
        <v>40.74</v>
      </c>
      <c r="H221" s="39">
        <f t="shared" si="14"/>
        <v>6538.77</v>
      </c>
    </row>
    <row r="222" spans="1:9" s="40" customFormat="1" x14ac:dyDescent="0.25">
      <c r="A222" s="36" t="s">
        <v>1002</v>
      </c>
      <c r="B222" s="62" t="s">
        <v>19</v>
      </c>
      <c r="C222" s="62" t="s">
        <v>836</v>
      </c>
      <c r="D222" s="37" t="s">
        <v>501</v>
      </c>
      <c r="E222" s="63" t="s">
        <v>28</v>
      </c>
      <c r="F222" s="38">
        <v>35.950000000000003</v>
      </c>
      <c r="G222" s="39">
        <v>80.739999999999995</v>
      </c>
      <c r="H222" s="39">
        <f t="shared" si="14"/>
        <v>2902.6030000000001</v>
      </c>
    </row>
    <row r="223" spans="1:9" s="40" customFormat="1" x14ac:dyDescent="0.25">
      <c r="A223" s="36" t="s">
        <v>1003</v>
      </c>
      <c r="B223" s="62" t="s">
        <v>19</v>
      </c>
      <c r="C223" s="62" t="s">
        <v>837</v>
      </c>
      <c r="D223" s="37" t="s">
        <v>502</v>
      </c>
      <c r="E223" s="63" t="s">
        <v>28</v>
      </c>
      <c r="F223" s="38">
        <v>4.55</v>
      </c>
      <c r="G223" s="39">
        <v>111.91</v>
      </c>
      <c r="H223" s="39">
        <f t="shared" si="14"/>
        <v>509.19049999999999</v>
      </c>
    </row>
    <row r="224" spans="1:9" s="40" customFormat="1" x14ac:dyDescent="0.25">
      <c r="A224" s="36" t="s">
        <v>1004</v>
      </c>
      <c r="B224" s="62" t="s">
        <v>19</v>
      </c>
      <c r="C224" s="62" t="s">
        <v>838</v>
      </c>
      <c r="D224" s="37" t="s">
        <v>503</v>
      </c>
      <c r="E224" s="63" t="s">
        <v>28</v>
      </c>
      <c r="F224" s="38">
        <v>16.499999999999996</v>
      </c>
      <c r="G224" s="39">
        <v>50.78</v>
      </c>
      <c r="H224" s="39">
        <f t="shared" si="14"/>
        <v>837.86999999999989</v>
      </c>
    </row>
    <row r="225" spans="1:8" s="40" customFormat="1" x14ac:dyDescent="0.25">
      <c r="A225" s="36" t="s">
        <v>1005</v>
      </c>
      <c r="B225" s="62" t="s">
        <v>19</v>
      </c>
      <c r="C225" s="62" t="s">
        <v>839</v>
      </c>
      <c r="D225" s="37" t="s">
        <v>504</v>
      </c>
      <c r="E225" s="63" t="s">
        <v>28</v>
      </c>
      <c r="F225" s="38">
        <v>7.6499999999999995</v>
      </c>
      <c r="G225" s="39">
        <v>53.67</v>
      </c>
      <c r="H225" s="39">
        <f t="shared" si="14"/>
        <v>410.57549999999998</v>
      </c>
    </row>
    <row r="226" spans="1:8" s="40" customFormat="1" x14ac:dyDescent="0.25">
      <c r="A226" s="36" t="s">
        <v>1006</v>
      </c>
      <c r="B226" s="62" t="s">
        <v>19</v>
      </c>
      <c r="C226" s="62" t="s">
        <v>840</v>
      </c>
      <c r="D226" s="37" t="s">
        <v>505</v>
      </c>
      <c r="E226" s="63" t="s">
        <v>15</v>
      </c>
      <c r="F226" s="38">
        <v>7</v>
      </c>
      <c r="G226" s="39">
        <v>105.89</v>
      </c>
      <c r="H226" s="39">
        <f t="shared" si="14"/>
        <v>741.23</v>
      </c>
    </row>
    <row r="227" spans="1:8" s="40" customFormat="1" x14ac:dyDescent="0.25">
      <c r="A227" s="36" t="s">
        <v>1007</v>
      </c>
      <c r="B227" s="62" t="s">
        <v>19</v>
      </c>
      <c r="C227" s="62" t="s">
        <v>841</v>
      </c>
      <c r="D227" s="37" t="s">
        <v>506</v>
      </c>
      <c r="E227" s="63" t="s">
        <v>15</v>
      </c>
      <c r="F227" s="38">
        <v>1</v>
      </c>
      <c r="G227" s="39">
        <v>3745.08</v>
      </c>
      <c r="H227" s="39">
        <f t="shared" si="14"/>
        <v>3745.08</v>
      </c>
    </row>
    <row r="228" spans="1:8" s="40" customFormat="1" x14ac:dyDescent="0.25">
      <c r="A228" s="36" t="s">
        <v>1008</v>
      </c>
      <c r="B228" s="62"/>
      <c r="C228" s="62"/>
      <c r="D228" s="37" t="s">
        <v>507</v>
      </c>
      <c r="E228" s="63" t="s">
        <v>15</v>
      </c>
      <c r="F228" s="38">
        <v>2</v>
      </c>
      <c r="G228" s="39">
        <v>1871.8570000000002</v>
      </c>
      <c r="H228" s="39">
        <f t="shared" si="14"/>
        <v>3743.7140000000004</v>
      </c>
    </row>
    <row r="229" spans="1:8" s="40" customFormat="1" x14ac:dyDescent="0.25">
      <c r="A229" s="36" t="s">
        <v>1009</v>
      </c>
      <c r="B229" s="62" t="s">
        <v>19</v>
      </c>
      <c r="C229" s="62" t="s">
        <v>842</v>
      </c>
      <c r="D229" s="37" t="s">
        <v>508</v>
      </c>
      <c r="E229" s="63" t="s">
        <v>15</v>
      </c>
      <c r="F229" s="38">
        <v>4</v>
      </c>
      <c r="G229" s="39">
        <v>37.6</v>
      </c>
      <c r="H229" s="39">
        <f t="shared" si="14"/>
        <v>150.4</v>
      </c>
    </row>
    <row r="230" spans="1:8" s="40" customFormat="1" x14ac:dyDescent="0.25">
      <c r="A230" s="36" t="s">
        <v>1010</v>
      </c>
      <c r="B230" s="62" t="s">
        <v>19</v>
      </c>
      <c r="C230" s="62" t="s">
        <v>843</v>
      </c>
      <c r="D230" s="37" t="s">
        <v>509</v>
      </c>
      <c r="E230" s="63" t="s">
        <v>15</v>
      </c>
      <c r="F230" s="38">
        <v>1</v>
      </c>
      <c r="G230" s="39">
        <v>985.94</v>
      </c>
      <c r="H230" s="39">
        <f t="shared" si="14"/>
        <v>985.94</v>
      </c>
    </row>
    <row r="231" spans="1:8" s="40" customFormat="1" x14ac:dyDescent="0.25">
      <c r="A231" s="36" t="s">
        <v>1011</v>
      </c>
      <c r="B231" s="62" t="s">
        <v>19</v>
      </c>
      <c r="C231" s="62" t="s">
        <v>844</v>
      </c>
      <c r="D231" s="37" t="s">
        <v>510</v>
      </c>
      <c r="E231" s="63" t="s">
        <v>15</v>
      </c>
      <c r="F231" s="38">
        <v>33</v>
      </c>
      <c r="G231" s="39">
        <v>107.57</v>
      </c>
      <c r="H231" s="39">
        <f t="shared" si="14"/>
        <v>3549.81</v>
      </c>
    </row>
    <row r="232" spans="1:8" s="40" customFormat="1" x14ac:dyDescent="0.25">
      <c r="A232" s="36" t="s">
        <v>1012</v>
      </c>
      <c r="B232" s="62" t="s">
        <v>19</v>
      </c>
      <c r="C232" s="62" t="s">
        <v>845</v>
      </c>
      <c r="D232" s="37" t="s">
        <v>511</v>
      </c>
      <c r="E232" s="63" t="s">
        <v>15</v>
      </c>
      <c r="F232" s="38">
        <v>5</v>
      </c>
      <c r="G232" s="39">
        <v>115.01</v>
      </c>
      <c r="H232" s="39">
        <f t="shared" si="14"/>
        <v>575.05000000000007</v>
      </c>
    </row>
    <row r="233" spans="1:8" s="40" customFormat="1" x14ac:dyDescent="0.25">
      <c r="A233" s="36" t="s">
        <v>1013</v>
      </c>
      <c r="B233" s="62" t="s">
        <v>893</v>
      </c>
      <c r="C233" s="62" t="s">
        <v>894</v>
      </c>
      <c r="D233" s="37" t="s">
        <v>892</v>
      </c>
      <c r="E233" s="63" t="s">
        <v>15</v>
      </c>
      <c r="F233" s="38">
        <v>15</v>
      </c>
      <c r="G233" s="39">
        <v>714.96</v>
      </c>
      <c r="H233" s="39">
        <f t="shared" si="14"/>
        <v>10724.400000000001</v>
      </c>
    </row>
    <row r="234" spans="1:8" s="40" customFormat="1" x14ac:dyDescent="0.25">
      <c r="A234" s="36" t="s">
        <v>1014</v>
      </c>
      <c r="B234" s="62" t="s">
        <v>19</v>
      </c>
      <c r="C234" s="62" t="s">
        <v>846</v>
      </c>
      <c r="D234" s="37" t="s">
        <v>512</v>
      </c>
      <c r="E234" s="63" t="s">
        <v>28</v>
      </c>
      <c r="F234" s="38">
        <v>4.3</v>
      </c>
      <c r="G234" s="39">
        <v>163.81</v>
      </c>
      <c r="H234" s="39">
        <f t="shared" si="14"/>
        <v>704.38299999999992</v>
      </c>
    </row>
    <row r="235" spans="1:8" s="40" customFormat="1" x14ac:dyDescent="0.25">
      <c r="A235" s="36" t="s">
        <v>1015</v>
      </c>
      <c r="B235" s="62" t="s">
        <v>19</v>
      </c>
      <c r="C235" s="62" t="s">
        <v>847</v>
      </c>
      <c r="D235" s="37" t="s">
        <v>513</v>
      </c>
      <c r="E235" s="63" t="s">
        <v>28</v>
      </c>
      <c r="F235" s="38">
        <v>0.85</v>
      </c>
      <c r="G235" s="39">
        <v>18.239999999999998</v>
      </c>
      <c r="H235" s="39">
        <f t="shared" si="14"/>
        <v>15.503999999999998</v>
      </c>
    </row>
    <row r="236" spans="1:8" s="40" customFormat="1" x14ac:dyDescent="0.25">
      <c r="A236" s="36" t="s">
        <v>1016</v>
      </c>
      <c r="B236" s="62" t="s">
        <v>19</v>
      </c>
      <c r="C236" s="62" t="s">
        <v>842</v>
      </c>
      <c r="D236" s="37" t="s">
        <v>514</v>
      </c>
      <c r="E236" s="63" t="s">
        <v>15</v>
      </c>
      <c r="F236" s="38">
        <v>5</v>
      </c>
      <c r="G236" s="39">
        <v>37.6</v>
      </c>
      <c r="H236" s="39">
        <f t="shared" si="14"/>
        <v>188</v>
      </c>
    </row>
    <row r="237" spans="1:8" s="40" customFormat="1" x14ac:dyDescent="0.25">
      <c r="A237" s="36" t="s">
        <v>1017</v>
      </c>
      <c r="B237" s="62" t="s">
        <v>19</v>
      </c>
      <c r="C237" s="62" t="s">
        <v>848</v>
      </c>
      <c r="D237" s="37" t="s">
        <v>515</v>
      </c>
      <c r="E237" s="63" t="s">
        <v>15</v>
      </c>
      <c r="F237" s="38">
        <v>4</v>
      </c>
      <c r="G237" s="39">
        <v>612.37</v>
      </c>
      <c r="H237" s="39">
        <f t="shared" si="14"/>
        <v>2449.48</v>
      </c>
    </row>
    <row r="238" spans="1:8" s="40" customFormat="1" x14ac:dyDescent="0.25">
      <c r="A238" s="36" t="s">
        <v>1018</v>
      </c>
      <c r="B238" s="62" t="s">
        <v>19</v>
      </c>
      <c r="C238" s="62" t="s">
        <v>478</v>
      </c>
      <c r="D238" s="37" t="s">
        <v>849</v>
      </c>
      <c r="E238" s="63" t="s">
        <v>15</v>
      </c>
      <c r="F238" s="38">
        <v>25</v>
      </c>
      <c r="G238" s="39">
        <v>190.87</v>
      </c>
      <c r="H238" s="39">
        <f t="shared" si="14"/>
        <v>4771.75</v>
      </c>
    </row>
    <row r="239" spans="1:8" s="40" customFormat="1" x14ac:dyDescent="0.25">
      <c r="A239" s="36" t="s">
        <v>1019</v>
      </c>
      <c r="B239" s="62" t="s">
        <v>19</v>
      </c>
      <c r="C239" s="62" t="s">
        <v>850</v>
      </c>
      <c r="D239" s="37" t="s">
        <v>851</v>
      </c>
      <c r="E239" s="63" t="s">
        <v>15</v>
      </c>
      <c r="F239" s="38">
        <v>25</v>
      </c>
      <c r="G239" s="39">
        <v>13.84</v>
      </c>
      <c r="H239" s="39">
        <f t="shared" si="14"/>
        <v>346</v>
      </c>
    </row>
    <row r="240" spans="1:8" s="40" customFormat="1" ht="28.5" x14ac:dyDescent="0.25">
      <c r="A240" s="36" t="s">
        <v>1020</v>
      </c>
      <c r="B240" s="62" t="s">
        <v>19</v>
      </c>
      <c r="C240" s="62" t="s">
        <v>852</v>
      </c>
      <c r="D240" s="37" t="s">
        <v>516</v>
      </c>
      <c r="E240" s="63" t="s">
        <v>15</v>
      </c>
      <c r="F240" s="38">
        <v>3</v>
      </c>
      <c r="G240" s="39">
        <v>139.33000000000001</v>
      </c>
      <c r="H240" s="39">
        <f t="shared" si="14"/>
        <v>417.99</v>
      </c>
    </row>
    <row r="241" spans="1:8" s="40" customFormat="1" x14ac:dyDescent="0.25">
      <c r="A241" s="36" t="s">
        <v>1021</v>
      </c>
      <c r="B241" s="62" t="s">
        <v>19</v>
      </c>
      <c r="C241" s="62" t="s">
        <v>853</v>
      </c>
      <c r="D241" s="37" t="s">
        <v>854</v>
      </c>
      <c r="E241" s="63" t="s">
        <v>15</v>
      </c>
      <c r="F241" s="38">
        <v>14</v>
      </c>
      <c r="G241" s="39">
        <v>1187.6400000000001</v>
      </c>
      <c r="H241" s="39">
        <f t="shared" si="14"/>
        <v>16626.960000000003</v>
      </c>
    </row>
    <row r="242" spans="1:8" s="40" customFormat="1" x14ac:dyDescent="0.25">
      <c r="A242" s="36" t="s">
        <v>1022</v>
      </c>
      <c r="B242" s="62" t="s">
        <v>19</v>
      </c>
      <c r="C242" s="62" t="s">
        <v>850</v>
      </c>
      <c r="D242" s="37" t="s">
        <v>851</v>
      </c>
      <c r="E242" s="63" t="s">
        <v>15</v>
      </c>
      <c r="F242" s="38">
        <v>14</v>
      </c>
      <c r="G242" s="39">
        <v>13.84</v>
      </c>
      <c r="H242" s="39">
        <f t="shared" si="14"/>
        <v>193.76</v>
      </c>
    </row>
    <row r="243" spans="1:8" s="40" customFormat="1" x14ac:dyDescent="0.25">
      <c r="A243" s="36" t="s">
        <v>1023</v>
      </c>
      <c r="B243" s="62" t="s">
        <v>19</v>
      </c>
      <c r="C243" s="62" t="s">
        <v>855</v>
      </c>
      <c r="D243" s="37" t="s">
        <v>856</v>
      </c>
      <c r="E243" s="63" t="s">
        <v>15</v>
      </c>
      <c r="F243" s="38">
        <v>3</v>
      </c>
      <c r="G243" s="39">
        <v>129.15</v>
      </c>
      <c r="H243" s="39">
        <f t="shared" si="14"/>
        <v>387.45000000000005</v>
      </c>
    </row>
    <row r="244" spans="1:8" s="40" customFormat="1" x14ac:dyDescent="0.25">
      <c r="A244" s="36" t="s">
        <v>1024</v>
      </c>
      <c r="B244" s="62" t="s">
        <v>19</v>
      </c>
      <c r="C244" s="62" t="s">
        <v>850</v>
      </c>
      <c r="D244" s="37" t="s">
        <v>851</v>
      </c>
      <c r="E244" s="63" t="s">
        <v>15</v>
      </c>
      <c r="F244" s="38">
        <v>3</v>
      </c>
      <c r="G244" s="39">
        <v>13.84</v>
      </c>
      <c r="H244" s="39">
        <f t="shared" si="14"/>
        <v>41.519999999999996</v>
      </c>
    </row>
    <row r="245" spans="1:8" s="40" customFormat="1" x14ac:dyDescent="0.25">
      <c r="A245" s="36" t="s">
        <v>1025</v>
      </c>
      <c r="B245" s="62" t="s">
        <v>19</v>
      </c>
      <c r="C245" s="62" t="s">
        <v>480</v>
      </c>
      <c r="D245" s="37" t="s">
        <v>857</v>
      </c>
      <c r="E245" s="63" t="s">
        <v>15</v>
      </c>
      <c r="F245" s="38">
        <v>1</v>
      </c>
      <c r="G245" s="39">
        <v>768.22</v>
      </c>
      <c r="H245" s="39">
        <f t="shared" si="14"/>
        <v>768.22</v>
      </c>
    </row>
    <row r="246" spans="1:8" s="40" customFormat="1" x14ac:dyDescent="0.25">
      <c r="A246" s="36" t="s">
        <v>1026</v>
      </c>
      <c r="B246" s="62" t="s">
        <v>19</v>
      </c>
      <c r="C246" s="62" t="s">
        <v>479</v>
      </c>
      <c r="D246" s="37" t="s">
        <v>858</v>
      </c>
      <c r="E246" s="63" t="s">
        <v>15</v>
      </c>
      <c r="F246" s="38">
        <v>2</v>
      </c>
      <c r="G246" s="39">
        <v>554.5</v>
      </c>
      <c r="H246" s="39">
        <f t="shared" si="14"/>
        <v>1109</v>
      </c>
    </row>
    <row r="247" spans="1:8" s="40" customFormat="1" x14ac:dyDescent="0.25">
      <c r="A247" s="36" t="s">
        <v>1027</v>
      </c>
      <c r="B247" s="62" t="s">
        <v>19</v>
      </c>
      <c r="C247" s="62" t="s">
        <v>859</v>
      </c>
      <c r="D247" s="37" t="s">
        <v>860</v>
      </c>
      <c r="E247" s="63" t="s">
        <v>15</v>
      </c>
      <c r="F247" s="38">
        <v>2</v>
      </c>
      <c r="G247" s="39">
        <v>330.08</v>
      </c>
      <c r="H247" s="39">
        <f t="shared" si="14"/>
        <v>660.16</v>
      </c>
    </row>
    <row r="248" spans="1:8" s="40" customFormat="1" x14ac:dyDescent="0.25">
      <c r="A248" s="36" t="s">
        <v>1028</v>
      </c>
      <c r="B248" s="62" t="s">
        <v>19</v>
      </c>
      <c r="C248" s="62" t="s">
        <v>861</v>
      </c>
      <c r="D248" s="37" t="s">
        <v>862</v>
      </c>
      <c r="E248" s="63" t="s">
        <v>15</v>
      </c>
      <c r="F248" s="38">
        <v>5</v>
      </c>
      <c r="G248" s="39">
        <v>820.83</v>
      </c>
      <c r="H248" s="39">
        <f t="shared" si="14"/>
        <v>4104.1500000000005</v>
      </c>
    </row>
    <row r="249" spans="1:8" s="40" customFormat="1" x14ac:dyDescent="0.25">
      <c r="A249" s="36" t="s">
        <v>1029</v>
      </c>
      <c r="B249" s="62" t="s">
        <v>19</v>
      </c>
      <c r="C249" s="62" t="s">
        <v>863</v>
      </c>
      <c r="D249" s="37" t="s">
        <v>864</v>
      </c>
      <c r="E249" s="63" t="s">
        <v>15</v>
      </c>
      <c r="F249" s="38">
        <v>5</v>
      </c>
      <c r="G249" s="39">
        <v>504.36</v>
      </c>
      <c r="H249" s="39">
        <f t="shared" si="14"/>
        <v>2521.8000000000002</v>
      </c>
    </row>
    <row r="250" spans="1:8" s="40" customFormat="1" x14ac:dyDescent="0.25">
      <c r="A250" s="36" t="s">
        <v>1030</v>
      </c>
      <c r="B250" s="62" t="s">
        <v>19</v>
      </c>
      <c r="C250" s="62" t="s">
        <v>850</v>
      </c>
      <c r="D250" s="37" t="s">
        <v>851</v>
      </c>
      <c r="E250" s="63" t="s">
        <v>15</v>
      </c>
      <c r="F250" s="38">
        <v>5</v>
      </c>
      <c r="G250" s="39">
        <v>13.84</v>
      </c>
      <c r="H250" s="39">
        <f t="shared" si="14"/>
        <v>69.2</v>
      </c>
    </row>
    <row r="251" spans="1:8" s="40" customFormat="1" x14ac:dyDescent="0.25">
      <c r="A251" s="36" t="s">
        <v>1031</v>
      </c>
      <c r="B251" s="62" t="s">
        <v>19</v>
      </c>
      <c r="C251" s="62" t="s">
        <v>865</v>
      </c>
      <c r="D251" s="37" t="s">
        <v>866</v>
      </c>
      <c r="E251" s="63" t="s">
        <v>15</v>
      </c>
      <c r="F251" s="38">
        <v>1</v>
      </c>
      <c r="G251" s="39">
        <v>323.43</v>
      </c>
      <c r="H251" s="39">
        <f t="shared" si="14"/>
        <v>323.43</v>
      </c>
    </row>
    <row r="252" spans="1:8" s="40" customFormat="1" x14ac:dyDescent="0.25">
      <c r="A252" s="36" t="s">
        <v>1032</v>
      </c>
      <c r="B252" s="62" t="s">
        <v>19</v>
      </c>
      <c r="C252" s="62" t="s">
        <v>850</v>
      </c>
      <c r="D252" s="37" t="s">
        <v>851</v>
      </c>
      <c r="E252" s="63" t="s">
        <v>15</v>
      </c>
      <c r="F252" s="38">
        <v>1</v>
      </c>
      <c r="G252" s="39">
        <v>13.84</v>
      </c>
      <c r="H252" s="39">
        <f t="shared" si="14"/>
        <v>13.84</v>
      </c>
    </row>
    <row r="253" spans="1:8" s="40" customFormat="1" x14ac:dyDescent="0.25">
      <c r="A253" s="36" t="s">
        <v>1033</v>
      </c>
      <c r="B253" s="62" t="s">
        <v>19</v>
      </c>
      <c r="C253" s="62" t="s">
        <v>843</v>
      </c>
      <c r="D253" s="37" t="s">
        <v>509</v>
      </c>
      <c r="E253" s="63" t="s">
        <v>15</v>
      </c>
      <c r="F253" s="38">
        <v>4</v>
      </c>
      <c r="G253" s="39">
        <v>985.94</v>
      </c>
      <c r="H253" s="39">
        <f t="shared" si="14"/>
        <v>3943.76</v>
      </c>
    </row>
    <row r="254" spans="1:8" s="40" customFormat="1" x14ac:dyDescent="0.25">
      <c r="A254" s="36" t="s">
        <v>1034</v>
      </c>
      <c r="B254" s="62" t="s">
        <v>19</v>
      </c>
      <c r="C254" s="62" t="s">
        <v>844</v>
      </c>
      <c r="D254" s="37" t="s">
        <v>510</v>
      </c>
      <c r="E254" s="63" t="s">
        <v>15</v>
      </c>
      <c r="F254" s="38">
        <v>6</v>
      </c>
      <c r="G254" s="39">
        <v>107.57</v>
      </c>
      <c r="H254" s="39">
        <f t="shared" si="14"/>
        <v>645.41999999999996</v>
      </c>
    </row>
    <row r="255" spans="1:8" s="40" customFormat="1" x14ac:dyDescent="0.25">
      <c r="A255" s="36" t="s">
        <v>1035</v>
      </c>
      <c r="B255" s="62" t="s">
        <v>19</v>
      </c>
      <c r="C255" s="62" t="s">
        <v>835</v>
      </c>
      <c r="D255" s="37" t="s">
        <v>517</v>
      </c>
      <c r="E255" s="63" t="s">
        <v>28</v>
      </c>
      <c r="F255" s="38">
        <v>94.3</v>
      </c>
      <c r="G255" s="39">
        <v>37.94</v>
      </c>
      <c r="H255" s="39">
        <f t="shared" si="14"/>
        <v>3577.7419999999997</v>
      </c>
    </row>
    <row r="256" spans="1:8" s="40" customFormat="1" x14ac:dyDescent="0.25">
      <c r="A256" s="36" t="s">
        <v>1036</v>
      </c>
      <c r="B256" s="62" t="s">
        <v>19</v>
      </c>
      <c r="C256" s="62" t="s">
        <v>832</v>
      </c>
      <c r="D256" s="37" t="s">
        <v>497</v>
      </c>
      <c r="E256" s="63" t="s">
        <v>28</v>
      </c>
      <c r="F256" s="38">
        <v>1.75</v>
      </c>
      <c r="G256" s="39">
        <v>116.13</v>
      </c>
      <c r="H256" s="39">
        <f t="shared" si="14"/>
        <v>203.22749999999999</v>
      </c>
    </row>
    <row r="257" spans="1:9" s="40" customFormat="1" x14ac:dyDescent="0.25">
      <c r="A257" s="36" t="s">
        <v>1037</v>
      </c>
      <c r="B257" s="62" t="s">
        <v>19</v>
      </c>
      <c r="C257" s="62" t="s">
        <v>835</v>
      </c>
      <c r="D257" s="37" t="s">
        <v>500</v>
      </c>
      <c r="E257" s="63" t="s">
        <v>28</v>
      </c>
      <c r="F257" s="38">
        <v>70.05</v>
      </c>
      <c r="G257" s="39">
        <v>40.74</v>
      </c>
      <c r="H257" s="39">
        <f t="shared" si="14"/>
        <v>2853.837</v>
      </c>
    </row>
    <row r="258" spans="1:9" s="40" customFormat="1" x14ac:dyDescent="0.25">
      <c r="A258" s="36" t="s">
        <v>1038</v>
      </c>
      <c r="B258" s="62" t="s">
        <v>19</v>
      </c>
      <c r="C258" s="62" t="s">
        <v>838</v>
      </c>
      <c r="D258" s="37" t="s">
        <v>503</v>
      </c>
      <c r="E258" s="63" t="s">
        <v>28</v>
      </c>
      <c r="F258" s="38">
        <v>3.65</v>
      </c>
      <c r="G258" s="39">
        <v>50.78</v>
      </c>
      <c r="H258" s="39">
        <f t="shared" si="14"/>
        <v>185.34700000000001</v>
      </c>
    </row>
    <row r="259" spans="1:9" s="40" customFormat="1" x14ac:dyDescent="0.25">
      <c r="A259" s="36" t="s">
        <v>1039</v>
      </c>
      <c r="B259" s="62" t="s">
        <v>19</v>
      </c>
      <c r="C259" s="62" t="s">
        <v>839</v>
      </c>
      <c r="D259" s="37" t="s">
        <v>504</v>
      </c>
      <c r="E259" s="63" t="s">
        <v>28</v>
      </c>
      <c r="F259" s="38">
        <v>9.75</v>
      </c>
      <c r="G259" s="39">
        <v>53.67</v>
      </c>
      <c r="H259" s="39">
        <f t="shared" si="14"/>
        <v>523.28250000000003</v>
      </c>
    </row>
    <row r="260" spans="1:9" s="40" customFormat="1" x14ac:dyDescent="0.25">
      <c r="A260" s="36" t="s">
        <v>1040</v>
      </c>
      <c r="B260" s="62" t="s">
        <v>19</v>
      </c>
      <c r="C260" s="62" t="s">
        <v>836</v>
      </c>
      <c r="D260" s="37" t="s">
        <v>501</v>
      </c>
      <c r="E260" s="63" t="s">
        <v>28</v>
      </c>
      <c r="F260" s="38">
        <v>4.25</v>
      </c>
      <c r="G260" s="39">
        <v>80.739999999999995</v>
      </c>
      <c r="H260" s="39">
        <f t="shared" si="14"/>
        <v>343.14499999999998</v>
      </c>
    </row>
    <row r="261" spans="1:9" s="40" customFormat="1" x14ac:dyDescent="0.25">
      <c r="A261" s="36" t="s">
        <v>1041</v>
      </c>
      <c r="B261" s="62" t="s">
        <v>19</v>
      </c>
      <c r="C261" s="62" t="s">
        <v>837</v>
      </c>
      <c r="D261" s="37" t="s">
        <v>502</v>
      </c>
      <c r="E261" s="63" t="s">
        <v>28</v>
      </c>
      <c r="F261" s="38">
        <v>5.3</v>
      </c>
      <c r="G261" s="39">
        <v>111.91</v>
      </c>
      <c r="H261" s="39">
        <f t="shared" si="14"/>
        <v>593.12299999999993</v>
      </c>
    </row>
    <row r="262" spans="1:9" s="40" customFormat="1" x14ac:dyDescent="0.25">
      <c r="A262" s="36" t="s">
        <v>1042</v>
      </c>
      <c r="B262" s="62" t="s">
        <v>19</v>
      </c>
      <c r="C262" s="62" t="s">
        <v>46</v>
      </c>
      <c r="D262" s="37" t="s">
        <v>518</v>
      </c>
      <c r="E262" s="63" t="s">
        <v>28</v>
      </c>
      <c r="F262" s="38">
        <v>103.4</v>
      </c>
      <c r="G262" s="39">
        <v>117.45</v>
      </c>
      <c r="H262" s="39">
        <f t="shared" si="14"/>
        <v>12144.330000000002</v>
      </c>
    </row>
    <row r="263" spans="1:9" s="40" customFormat="1" x14ac:dyDescent="0.25">
      <c r="A263" s="36" t="s">
        <v>1043</v>
      </c>
      <c r="B263" s="62" t="s">
        <v>19</v>
      </c>
      <c r="C263" s="62" t="s">
        <v>867</v>
      </c>
      <c r="D263" s="37" t="s">
        <v>519</v>
      </c>
      <c r="E263" s="63" t="s">
        <v>15</v>
      </c>
      <c r="F263" s="38">
        <v>2</v>
      </c>
      <c r="G263" s="39">
        <v>215.29</v>
      </c>
      <c r="H263" s="39">
        <f t="shared" si="14"/>
        <v>430.58</v>
      </c>
    </row>
    <row r="264" spans="1:9" ht="15" x14ac:dyDescent="0.25">
      <c r="A264" s="19" t="s">
        <v>184</v>
      </c>
      <c r="B264" s="19"/>
      <c r="C264" s="20"/>
      <c r="D264" s="21" t="s">
        <v>520</v>
      </c>
      <c r="E264" s="19"/>
      <c r="F264" s="22"/>
      <c r="G264" s="4"/>
      <c r="H264" s="4">
        <f>SUM(H265:H276)</f>
        <v>76480.111000000004</v>
      </c>
      <c r="I264" s="28"/>
    </row>
    <row r="265" spans="1:9" s="40" customFormat="1" x14ac:dyDescent="0.25">
      <c r="A265" s="36" t="s">
        <v>1044</v>
      </c>
      <c r="B265" s="62" t="s">
        <v>19</v>
      </c>
      <c r="C265" s="62" t="s">
        <v>868</v>
      </c>
      <c r="D265" s="37" t="s">
        <v>521</v>
      </c>
      <c r="E265" s="63" t="s">
        <v>28</v>
      </c>
      <c r="F265" s="38">
        <v>48.1</v>
      </c>
      <c r="G265" s="39">
        <v>260.48</v>
      </c>
      <c r="H265" s="39">
        <f t="shared" ref="H265:H276" si="15">F265*G265</f>
        <v>12529.088000000002</v>
      </c>
    </row>
    <row r="266" spans="1:9" s="40" customFormat="1" x14ac:dyDescent="0.25">
      <c r="A266" s="36" t="s">
        <v>1045</v>
      </c>
      <c r="B266" s="62" t="s">
        <v>19</v>
      </c>
      <c r="C266" s="62" t="s">
        <v>869</v>
      </c>
      <c r="D266" s="37" t="s">
        <v>522</v>
      </c>
      <c r="E266" s="63" t="s">
        <v>28</v>
      </c>
      <c r="F266" s="38">
        <v>36.549999999999997</v>
      </c>
      <c r="G266" s="39">
        <v>47.8</v>
      </c>
      <c r="H266" s="39">
        <f t="shared" si="15"/>
        <v>1747.0899999999997</v>
      </c>
    </row>
    <row r="267" spans="1:9" s="40" customFormat="1" x14ac:dyDescent="0.25">
      <c r="A267" s="36" t="s">
        <v>1046</v>
      </c>
      <c r="B267" s="62" t="s">
        <v>19</v>
      </c>
      <c r="C267" s="62" t="s">
        <v>870</v>
      </c>
      <c r="D267" s="37" t="s">
        <v>523</v>
      </c>
      <c r="E267" s="63" t="s">
        <v>28</v>
      </c>
      <c r="F267" s="38">
        <v>25.9</v>
      </c>
      <c r="G267" s="39">
        <v>56.25</v>
      </c>
      <c r="H267" s="39">
        <f t="shared" si="15"/>
        <v>1456.875</v>
      </c>
    </row>
    <row r="268" spans="1:9" s="40" customFormat="1" x14ac:dyDescent="0.25">
      <c r="A268" s="36" t="s">
        <v>1047</v>
      </c>
      <c r="B268" s="62" t="s">
        <v>19</v>
      </c>
      <c r="C268" s="62" t="s">
        <v>871</v>
      </c>
      <c r="D268" s="37" t="s">
        <v>524</v>
      </c>
      <c r="E268" s="63" t="s">
        <v>28</v>
      </c>
      <c r="F268" s="38">
        <v>29.95</v>
      </c>
      <c r="G268" s="39">
        <v>92.21</v>
      </c>
      <c r="H268" s="39">
        <f t="shared" si="15"/>
        <v>2761.6895</v>
      </c>
    </row>
    <row r="269" spans="1:9" s="40" customFormat="1" x14ac:dyDescent="0.25">
      <c r="A269" s="36" t="s">
        <v>1048</v>
      </c>
      <c r="B269" s="62" t="s">
        <v>19</v>
      </c>
      <c r="C269" s="62" t="s">
        <v>832</v>
      </c>
      <c r="D269" s="37" t="s">
        <v>525</v>
      </c>
      <c r="E269" s="63" t="s">
        <v>28</v>
      </c>
      <c r="F269" s="38">
        <v>58.900000000000006</v>
      </c>
      <c r="G269" s="39">
        <v>116.13</v>
      </c>
      <c r="H269" s="39">
        <f t="shared" si="15"/>
        <v>6840.0570000000007</v>
      </c>
    </row>
    <row r="270" spans="1:9" s="40" customFormat="1" x14ac:dyDescent="0.25">
      <c r="A270" s="36" t="s">
        <v>1049</v>
      </c>
      <c r="B270" s="62" t="s">
        <v>19</v>
      </c>
      <c r="C270" s="62" t="s">
        <v>846</v>
      </c>
      <c r="D270" s="37" t="s">
        <v>526</v>
      </c>
      <c r="E270" s="63" t="s">
        <v>28</v>
      </c>
      <c r="F270" s="38">
        <v>116.15</v>
      </c>
      <c r="G270" s="39">
        <v>163.81</v>
      </c>
      <c r="H270" s="39">
        <f t="shared" si="15"/>
        <v>19026.531500000001</v>
      </c>
    </row>
    <row r="271" spans="1:9" s="40" customFormat="1" x14ac:dyDescent="0.25">
      <c r="A271" s="36" t="s">
        <v>1050</v>
      </c>
      <c r="B271" s="62" t="s">
        <v>19</v>
      </c>
      <c r="C271" s="62" t="s">
        <v>872</v>
      </c>
      <c r="D271" s="37" t="s">
        <v>527</v>
      </c>
      <c r="E271" s="63" t="s">
        <v>15</v>
      </c>
      <c r="F271" s="38">
        <v>12</v>
      </c>
      <c r="G271" s="39">
        <v>632.82000000000005</v>
      </c>
      <c r="H271" s="39">
        <f t="shared" si="15"/>
        <v>7593.84</v>
      </c>
    </row>
    <row r="272" spans="1:9" s="40" customFormat="1" x14ac:dyDescent="0.25">
      <c r="A272" s="36" t="s">
        <v>1051</v>
      </c>
      <c r="B272" s="62" t="s">
        <v>19</v>
      </c>
      <c r="C272" s="62" t="s">
        <v>873</v>
      </c>
      <c r="D272" s="37" t="s">
        <v>528</v>
      </c>
      <c r="E272" s="63" t="s">
        <v>15</v>
      </c>
      <c r="F272" s="38">
        <v>8</v>
      </c>
      <c r="G272" s="39">
        <v>88.84</v>
      </c>
      <c r="H272" s="39">
        <f t="shared" si="15"/>
        <v>710.72</v>
      </c>
    </row>
    <row r="273" spans="1:9" s="40" customFormat="1" x14ac:dyDescent="0.25">
      <c r="A273" s="36" t="s">
        <v>1052</v>
      </c>
      <c r="B273" s="62" t="s">
        <v>896</v>
      </c>
      <c r="C273" s="62" t="s">
        <v>894</v>
      </c>
      <c r="D273" s="37" t="s">
        <v>895</v>
      </c>
      <c r="E273" s="63" t="s">
        <v>15</v>
      </c>
      <c r="F273" s="38">
        <v>18</v>
      </c>
      <c r="G273" s="39">
        <v>714.96</v>
      </c>
      <c r="H273" s="39">
        <f t="shared" si="15"/>
        <v>12869.28</v>
      </c>
    </row>
    <row r="274" spans="1:9" s="40" customFormat="1" x14ac:dyDescent="0.25">
      <c r="A274" s="36" t="s">
        <v>1053</v>
      </c>
      <c r="B274" s="62" t="s">
        <v>19</v>
      </c>
      <c r="C274" s="62" t="s">
        <v>874</v>
      </c>
      <c r="D274" s="37" t="s">
        <v>529</v>
      </c>
      <c r="E274" s="63" t="s">
        <v>15</v>
      </c>
      <c r="F274" s="38">
        <v>4</v>
      </c>
      <c r="G274" s="39">
        <v>413.72</v>
      </c>
      <c r="H274" s="39">
        <f t="shared" si="15"/>
        <v>1654.88</v>
      </c>
    </row>
    <row r="275" spans="1:9" s="40" customFormat="1" x14ac:dyDescent="0.25">
      <c r="A275" s="36" t="s">
        <v>1054</v>
      </c>
      <c r="B275" s="62" t="s">
        <v>19</v>
      </c>
      <c r="C275" s="62" t="s">
        <v>872</v>
      </c>
      <c r="D275" s="37" t="s">
        <v>530</v>
      </c>
      <c r="E275" s="63" t="s">
        <v>15</v>
      </c>
      <c r="F275" s="38">
        <v>14</v>
      </c>
      <c r="G275" s="39">
        <v>632.82000000000005</v>
      </c>
      <c r="H275" s="39">
        <f t="shared" si="15"/>
        <v>8859.4800000000014</v>
      </c>
    </row>
    <row r="276" spans="1:9" s="40" customFormat="1" x14ac:dyDescent="0.25">
      <c r="A276" s="36" t="s">
        <v>1055</v>
      </c>
      <c r="B276" s="62" t="s">
        <v>19</v>
      </c>
      <c r="C276" s="62" t="s">
        <v>867</v>
      </c>
      <c r="D276" s="37" t="s">
        <v>531</v>
      </c>
      <c r="E276" s="63" t="s">
        <v>15</v>
      </c>
      <c r="F276" s="38">
        <v>2</v>
      </c>
      <c r="G276" s="39">
        <v>215.29</v>
      </c>
      <c r="H276" s="39">
        <f t="shared" si="15"/>
        <v>430.58</v>
      </c>
    </row>
    <row r="277" spans="1:9" ht="15" x14ac:dyDescent="0.25">
      <c r="A277" s="19" t="s">
        <v>185</v>
      </c>
      <c r="B277" s="19"/>
      <c r="C277" s="20"/>
      <c r="D277" s="21" t="s">
        <v>536</v>
      </c>
      <c r="E277" s="19"/>
      <c r="F277" s="22"/>
      <c r="G277" s="4"/>
      <c r="H277" s="4">
        <f>SUM(H278:H281)</f>
        <v>3138.9199999999996</v>
      </c>
      <c r="I277" s="28"/>
    </row>
    <row r="278" spans="1:9" s="40" customFormat="1" x14ac:dyDescent="0.25">
      <c r="A278" s="36" t="s">
        <v>1056</v>
      </c>
      <c r="B278" s="62" t="s">
        <v>19</v>
      </c>
      <c r="C278" s="62" t="s">
        <v>875</v>
      </c>
      <c r="D278" s="37" t="s">
        <v>532</v>
      </c>
      <c r="E278" s="63" t="s">
        <v>15</v>
      </c>
      <c r="F278" s="38">
        <v>8</v>
      </c>
      <c r="G278" s="39">
        <v>221.04</v>
      </c>
      <c r="H278" s="39">
        <f t="shared" ref="H278:H283" si="16">F278*G278</f>
        <v>1768.32</v>
      </c>
    </row>
    <row r="279" spans="1:9" s="40" customFormat="1" x14ac:dyDescent="0.25">
      <c r="A279" s="36" t="s">
        <v>1057</v>
      </c>
      <c r="B279" s="62" t="s">
        <v>19</v>
      </c>
      <c r="C279" s="62" t="s">
        <v>876</v>
      </c>
      <c r="D279" s="37" t="s">
        <v>533</v>
      </c>
      <c r="E279" s="63" t="s">
        <v>15</v>
      </c>
      <c r="F279" s="38">
        <v>16</v>
      </c>
      <c r="G279" s="39">
        <v>19.02</v>
      </c>
      <c r="H279" s="39">
        <f t="shared" si="16"/>
        <v>304.32</v>
      </c>
    </row>
    <row r="280" spans="1:9" s="40" customFormat="1" x14ac:dyDescent="0.25">
      <c r="A280" s="36" t="s">
        <v>1058</v>
      </c>
      <c r="B280" s="62" t="s">
        <v>19</v>
      </c>
      <c r="C280" s="62" t="s">
        <v>876</v>
      </c>
      <c r="D280" s="37" t="s">
        <v>534</v>
      </c>
      <c r="E280" s="63" t="s">
        <v>15</v>
      </c>
      <c r="F280" s="38">
        <v>8</v>
      </c>
      <c r="G280" s="39">
        <v>19.02</v>
      </c>
      <c r="H280" s="39">
        <f t="shared" si="16"/>
        <v>152.16</v>
      </c>
    </row>
    <row r="281" spans="1:9" s="40" customFormat="1" x14ac:dyDescent="0.25">
      <c r="A281" s="36" t="s">
        <v>1059</v>
      </c>
      <c r="B281" s="62" t="s">
        <v>19</v>
      </c>
      <c r="C281" s="62" t="s">
        <v>877</v>
      </c>
      <c r="D281" s="37" t="s">
        <v>535</v>
      </c>
      <c r="E281" s="63" t="s">
        <v>15</v>
      </c>
      <c r="F281" s="38">
        <v>4</v>
      </c>
      <c r="G281" s="39">
        <v>228.53</v>
      </c>
      <c r="H281" s="39">
        <f t="shared" si="16"/>
        <v>914.12</v>
      </c>
    </row>
    <row r="282" spans="1:9" s="14" customFormat="1" ht="15" x14ac:dyDescent="0.25">
      <c r="A282" s="10">
        <v>11</v>
      </c>
      <c r="B282" s="10"/>
      <c r="C282" s="11"/>
      <c r="D282" s="12" t="s">
        <v>537</v>
      </c>
      <c r="E282" s="10"/>
      <c r="F282" s="13"/>
      <c r="G282" s="3"/>
      <c r="H282" s="3">
        <f>SUM(H283)</f>
        <v>9257.7749999999996</v>
      </c>
      <c r="I282" s="28"/>
    </row>
    <row r="283" spans="1:9" s="40" customFormat="1" x14ac:dyDescent="0.25">
      <c r="A283" s="36" t="s">
        <v>190</v>
      </c>
      <c r="B283" s="62" t="s">
        <v>19</v>
      </c>
      <c r="C283" s="62" t="s">
        <v>539</v>
      </c>
      <c r="D283" s="37" t="s">
        <v>538</v>
      </c>
      <c r="E283" s="63" t="s">
        <v>13</v>
      </c>
      <c r="F283" s="38">
        <v>582.25</v>
      </c>
      <c r="G283" s="39">
        <v>15.9</v>
      </c>
      <c r="H283" s="39">
        <f t="shared" si="16"/>
        <v>9257.7749999999996</v>
      </c>
    </row>
    <row r="284" spans="1:9" x14ac:dyDescent="0.25">
      <c r="A284" s="15"/>
      <c r="B284" s="15"/>
      <c r="C284" s="16"/>
      <c r="D284" s="17"/>
      <c r="E284" s="15"/>
      <c r="F284" s="18"/>
      <c r="G284" s="5"/>
      <c r="H284" s="5"/>
    </row>
    <row r="285" spans="1:9" ht="15" x14ac:dyDescent="0.25">
      <c r="A285" s="35"/>
      <c r="B285" s="29"/>
      <c r="C285" s="29"/>
      <c r="D285" s="29"/>
      <c r="E285" s="29"/>
      <c r="F285" s="29"/>
      <c r="G285" s="29" t="s">
        <v>212</v>
      </c>
      <c r="H285" s="6">
        <f>SUM(H282,H216,H207,H115,H109,H86,H65,H51,H31,H14,H4)</f>
        <v>1762817.9763785</v>
      </c>
    </row>
  </sheetData>
  <sheetProtection algorithmName="SHA-512" hashValue="+vOVRPxNWfTfD1OQ2F4DF7DGb6uJfgNAWH6fVp8Wni3FERWEQA+pPgFv49yHiwm8J3kLNlfUXdvxiPb7jM98Gw==" saltValue="ExRtU0tVjFFLpl0MPHPpHg==" spinCount="100000" sheet="1" objects="1" scenarios="1" selectLockedCells="1"/>
  <mergeCells count="1">
    <mergeCell ref="A1:H1"/>
  </mergeCells>
  <printOptions horizontalCentered="1"/>
  <pageMargins left="0.19685039370078741" right="0.19685039370078741" top="0.78740157480314965" bottom="0.47244094488188981" header="0.11811023622047245" footer="0.31496062992125984"/>
  <pageSetup paperSize="9" scale="70" fitToHeight="5" orientation="portrait" r:id="rId1"/>
  <headerFooter>
    <oddHeader>&amp;L&amp;G&amp;R&amp;"Arial,Normal"&amp;8
&amp;D</oddHeader>
    <oddFooter>&amp;C&amp;"Arial,Normal"&amp;8&amp;P/&amp;N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37"/>
  <sheetViews>
    <sheetView zoomScale="85" zoomScaleNormal="85" workbookViewId="0">
      <pane xSplit="3" ySplit="3" topLeftCell="D4" activePane="bottomRight" state="frozen"/>
      <selection activeCell="D16" sqref="D16"/>
      <selection pane="topRight" activeCell="D16" sqref="D16"/>
      <selection pane="bottomLeft" activeCell="D16" sqref="D16"/>
      <selection pane="bottomRight" activeCell="D16" sqref="D16"/>
    </sheetView>
  </sheetViews>
  <sheetFormatPr defaultRowHeight="14.25" x14ac:dyDescent="0.25"/>
  <cols>
    <col min="1" max="1" width="9.42578125" style="9" bestFit="1" customWidth="1"/>
    <col min="2" max="2" width="27.140625" style="94" customWidth="1"/>
    <col min="3" max="3" width="23.140625" style="95" bestFit="1" customWidth="1"/>
    <col min="4" max="5" width="20.28515625" style="9" bestFit="1" customWidth="1"/>
    <col min="6" max="6" width="20.7109375" style="9" bestFit="1" customWidth="1"/>
    <col min="7" max="7" width="20.28515625" style="9" bestFit="1" customWidth="1"/>
    <col min="8" max="9" width="20.7109375" style="9" bestFit="1" customWidth="1"/>
    <col min="10" max="11" width="20.7109375" style="9" hidden="1" customWidth="1"/>
    <col min="12" max="16384" width="9.140625" style="9"/>
  </cols>
  <sheetData>
    <row r="3" spans="1:11" x14ac:dyDescent="0.25">
      <c r="A3" s="36" t="s">
        <v>880</v>
      </c>
      <c r="B3" s="105" t="s">
        <v>881</v>
      </c>
      <c r="C3" s="103" t="s">
        <v>155</v>
      </c>
      <c r="D3" s="15" t="s">
        <v>1060</v>
      </c>
      <c r="E3" s="15" t="s">
        <v>1061</v>
      </c>
      <c r="F3" s="15" t="s">
        <v>1062</v>
      </c>
      <c r="G3" s="15" t="s">
        <v>1063</v>
      </c>
      <c r="H3" s="15" t="s">
        <v>1064</v>
      </c>
      <c r="I3" s="15" t="s">
        <v>1065</v>
      </c>
      <c r="J3" s="15" t="s">
        <v>1066</v>
      </c>
      <c r="K3" s="15" t="s">
        <v>1067</v>
      </c>
    </row>
    <row r="4" spans="1:11" x14ac:dyDescent="0.25">
      <c r="A4" s="36">
        <v>1</v>
      </c>
      <c r="B4" s="99" t="s">
        <v>24</v>
      </c>
      <c r="C4" s="100">
        <f>ORÇAMENTO!H4</f>
        <v>205279.71999999997</v>
      </c>
      <c r="D4" s="101"/>
      <c r="E4" s="101"/>
      <c r="F4" s="101"/>
      <c r="G4" s="101"/>
      <c r="H4" s="101"/>
      <c r="I4" s="101"/>
      <c r="J4" s="36"/>
      <c r="K4" s="36"/>
    </row>
    <row r="5" spans="1:11" x14ac:dyDescent="0.25">
      <c r="A5" s="102"/>
      <c r="B5" s="106"/>
      <c r="C5" s="107"/>
      <c r="D5" s="96">
        <v>0.16666666666666599</v>
      </c>
      <c r="E5" s="96">
        <v>0.16666666666666599</v>
      </c>
      <c r="F5" s="96">
        <v>0.16666666666666599</v>
      </c>
      <c r="G5" s="96">
        <v>0.16666666666666599</v>
      </c>
      <c r="H5" s="96">
        <v>0.16666666666666599</v>
      </c>
      <c r="I5" s="96">
        <v>0.16666666666666599</v>
      </c>
      <c r="J5" s="96"/>
      <c r="K5" s="96"/>
    </row>
    <row r="6" spans="1:11" x14ac:dyDescent="0.25">
      <c r="A6" s="102"/>
      <c r="B6" s="106"/>
      <c r="C6" s="107"/>
      <c r="D6" s="97">
        <f>D5*$C$4</f>
        <v>34213.286666666521</v>
      </c>
      <c r="E6" s="97">
        <f t="shared" ref="E6:I6" si="0">E5*$C$4</f>
        <v>34213.286666666521</v>
      </c>
      <c r="F6" s="97">
        <f t="shared" si="0"/>
        <v>34213.286666666521</v>
      </c>
      <c r="G6" s="97">
        <f t="shared" si="0"/>
        <v>34213.286666666521</v>
      </c>
      <c r="H6" s="97">
        <f t="shared" si="0"/>
        <v>34213.286666666521</v>
      </c>
      <c r="I6" s="97">
        <f t="shared" si="0"/>
        <v>34213.286666666521</v>
      </c>
      <c r="J6" s="97"/>
      <c r="K6" s="97"/>
    </row>
    <row r="7" spans="1:11" x14ac:dyDescent="0.25">
      <c r="A7" s="36">
        <v>2</v>
      </c>
      <c r="B7" s="99" t="s">
        <v>194</v>
      </c>
      <c r="C7" s="100">
        <f>ORÇAMENTO!H14</f>
        <v>346521.66829199996</v>
      </c>
      <c r="D7" s="101"/>
      <c r="E7" s="101"/>
      <c r="F7" s="101"/>
      <c r="G7" s="101"/>
      <c r="H7" s="101"/>
      <c r="I7" s="15"/>
      <c r="J7" s="15"/>
      <c r="K7" s="15"/>
    </row>
    <row r="8" spans="1:11" x14ac:dyDescent="0.25">
      <c r="A8" s="102"/>
      <c r="B8" s="106"/>
      <c r="C8" s="107"/>
      <c r="D8" s="96">
        <v>0.2</v>
      </c>
      <c r="E8" s="96">
        <v>0.2</v>
      </c>
      <c r="F8" s="96">
        <v>0.2</v>
      </c>
      <c r="G8" s="96">
        <v>0.2</v>
      </c>
      <c r="H8" s="96">
        <v>0.2</v>
      </c>
      <c r="I8" s="15"/>
      <c r="J8" s="15"/>
      <c r="K8" s="15"/>
    </row>
    <row r="9" spans="1:11" x14ac:dyDescent="0.25">
      <c r="A9" s="102"/>
      <c r="B9" s="106"/>
      <c r="C9" s="107"/>
      <c r="D9" s="97">
        <f>D8*$C$7</f>
        <v>69304.333658399992</v>
      </c>
      <c r="E9" s="97">
        <f t="shared" ref="E9:H9" si="1">E8*$C$7</f>
        <v>69304.333658399992</v>
      </c>
      <c r="F9" s="97">
        <f t="shared" si="1"/>
        <v>69304.333658399992</v>
      </c>
      <c r="G9" s="97">
        <f t="shared" si="1"/>
        <v>69304.333658399992</v>
      </c>
      <c r="H9" s="97">
        <f t="shared" si="1"/>
        <v>69304.333658399992</v>
      </c>
      <c r="I9" s="15"/>
      <c r="J9" s="15"/>
      <c r="K9" s="15"/>
    </row>
    <row r="10" spans="1:11" x14ac:dyDescent="0.25">
      <c r="A10" s="36">
        <v>3</v>
      </c>
      <c r="B10" s="99" t="s">
        <v>195</v>
      </c>
      <c r="C10" s="100">
        <f>ORÇAMENTO!H31</f>
        <v>83900.442215999996</v>
      </c>
      <c r="D10" s="97"/>
      <c r="E10" s="15"/>
      <c r="F10" s="101"/>
      <c r="G10" s="101"/>
      <c r="H10" s="101"/>
      <c r="I10" s="15"/>
      <c r="J10" s="15"/>
      <c r="K10" s="15"/>
    </row>
    <row r="11" spans="1:11" x14ac:dyDescent="0.25">
      <c r="A11" s="102"/>
      <c r="B11" s="106"/>
      <c r="C11" s="107"/>
      <c r="D11" s="15"/>
      <c r="E11" s="15"/>
      <c r="F11" s="96">
        <v>0.25</v>
      </c>
      <c r="G11" s="96">
        <v>0.35</v>
      </c>
      <c r="H11" s="96">
        <v>0.4</v>
      </c>
      <c r="I11" s="15"/>
      <c r="J11" s="15"/>
      <c r="K11" s="15"/>
    </row>
    <row r="12" spans="1:11" x14ac:dyDescent="0.25">
      <c r="A12" s="102"/>
      <c r="B12" s="106"/>
      <c r="C12" s="107"/>
      <c r="D12" s="15"/>
      <c r="E12" s="15"/>
      <c r="F12" s="97">
        <f>F11*$C$10</f>
        <v>20975.110553999999</v>
      </c>
      <c r="G12" s="97">
        <f>G11*$C$10</f>
        <v>29365.154775599996</v>
      </c>
      <c r="H12" s="97">
        <f>H11*$C$10</f>
        <v>33560.176886399997</v>
      </c>
      <c r="I12" s="15"/>
      <c r="J12" s="15"/>
      <c r="K12" s="15"/>
    </row>
    <row r="13" spans="1:11" x14ac:dyDescent="0.25">
      <c r="A13" s="36">
        <v>4</v>
      </c>
      <c r="B13" s="99" t="s">
        <v>882</v>
      </c>
      <c r="C13" s="100">
        <f>ORÇAMENTO!H51</f>
        <v>256662.53379999998</v>
      </c>
      <c r="D13" s="101"/>
      <c r="E13" s="101"/>
      <c r="F13" s="101"/>
      <c r="G13" s="101"/>
      <c r="H13" s="15"/>
      <c r="I13" s="15"/>
      <c r="J13" s="36"/>
      <c r="K13" s="36"/>
    </row>
    <row r="14" spans="1:11" x14ac:dyDescent="0.25">
      <c r="A14" s="102"/>
      <c r="B14" s="106"/>
      <c r="C14" s="107"/>
      <c r="D14" s="96">
        <v>0.25</v>
      </c>
      <c r="E14" s="96">
        <v>0.25</v>
      </c>
      <c r="F14" s="96">
        <v>0.25</v>
      </c>
      <c r="G14" s="96">
        <v>0.25</v>
      </c>
      <c r="H14" s="15"/>
      <c r="I14" s="15"/>
      <c r="J14" s="96"/>
      <c r="K14" s="96"/>
    </row>
    <row r="15" spans="1:11" x14ac:dyDescent="0.25">
      <c r="A15" s="102"/>
      <c r="B15" s="106"/>
      <c r="C15" s="107"/>
      <c r="D15" s="97">
        <f>D14*$C$13</f>
        <v>64165.633449999994</v>
      </c>
      <c r="E15" s="97">
        <f t="shared" ref="E15:F15" si="2">E14*$C$13</f>
        <v>64165.633449999994</v>
      </c>
      <c r="F15" s="97">
        <f t="shared" si="2"/>
        <v>64165.633449999994</v>
      </c>
      <c r="G15" s="97">
        <f t="shared" ref="G15" si="3">G14*$C$13</f>
        <v>64165.633449999994</v>
      </c>
      <c r="H15" s="15"/>
      <c r="I15" s="15"/>
      <c r="J15" s="97"/>
      <c r="K15" s="97"/>
    </row>
    <row r="16" spans="1:11" x14ac:dyDescent="0.25">
      <c r="A16" s="36">
        <v>5</v>
      </c>
      <c r="B16" s="99" t="s">
        <v>199</v>
      </c>
      <c r="C16" s="100">
        <f>ORÇAMENTO!H65</f>
        <v>107716.26922649999</v>
      </c>
      <c r="D16" s="97"/>
      <c r="F16" s="101"/>
      <c r="G16" s="101"/>
      <c r="H16" s="101"/>
      <c r="I16" s="101"/>
      <c r="J16" s="15"/>
      <c r="K16" s="15"/>
    </row>
    <row r="17" spans="1:11" x14ac:dyDescent="0.25">
      <c r="A17" s="102"/>
      <c r="B17" s="106"/>
      <c r="C17" s="107"/>
      <c r="D17" s="15"/>
      <c r="F17" s="96">
        <v>0.2</v>
      </c>
      <c r="G17" s="96">
        <v>0.25</v>
      </c>
      <c r="H17" s="96">
        <v>0.25</v>
      </c>
      <c r="I17" s="96">
        <v>0.3</v>
      </c>
      <c r="J17" s="15"/>
      <c r="K17" s="15"/>
    </row>
    <row r="18" spans="1:11" x14ac:dyDescent="0.25">
      <c r="A18" s="102"/>
      <c r="B18" s="106"/>
      <c r="C18" s="107"/>
      <c r="D18" s="15"/>
      <c r="F18" s="97">
        <f>F17*$C$16</f>
        <v>21543.253845300002</v>
      </c>
      <c r="G18" s="97">
        <f t="shared" ref="G18:I18" si="4">G17*$C$16</f>
        <v>26929.067306624998</v>
      </c>
      <c r="H18" s="97">
        <f t="shared" si="4"/>
        <v>26929.067306624998</v>
      </c>
      <c r="I18" s="97">
        <f t="shared" si="4"/>
        <v>32314.880767949995</v>
      </c>
      <c r="J18" s="15"/>
      <c r="K18" s="15"/>
    </row>
    <row r="19" spans="1:11" x14ac:dyDescent="0.25">
      <c r="A19" s="36">
        <v>6</v>
      </c>
      <c r="B19" s="99" t="s">
        <v>216</v>
      </c>
      <c r="C19" s="100">
        <f>ORÇAMENTO!H86</f>
        <v>130519.28226400001</v>
      </c>
      <c r="D19" s="101"/>
      <c r="E19" s="101"/>
      <c r="F19" s="101"/>
      <c r="G19" s="101"/>
      <c r="H19" s="15"/>
      <c r="I19" s="15"/>
      <c r="J19" s="15"/>
      <c r="K19" s="15"/>
    </row>
    <row r="20" spans="1:11" x14ac:dyDescent="0.25">
      <c r="A20" s="102"/>
      <c r="B20" s="106"/>
      <c r="C20" s="107"/>
      <c r="D20" s="96">
        <v>0.2</v>
      </c>
      <c r="E20" s="96">
        <v>0.25</v>
      </c>
      <c r="F20" s="96">
        <v>0.25</v>
      </c>
      <c r="G20" s="96">
        <v>0.3</v>
      </c>
      <c r="H20" s="15"/>
      <c r="I20" s="15"/>
      <c r="J20" s="15"/>
      <c r="K20" s="15"/>
    </row>
    <row r="21" spans="1:11" x14ac:dyDescent="0.25">
      <c r="A21" s="102"/>
      <c r="B21" s="106"/>
      <c r="C21" s="107"/>
      <c r="D21" s="97">
        <f>D20*$C$19</f>
        <v>26103.856452800002</v>
      </c>
      <c r="E21" s="97">
        <f t="shared" ref="E21:G21" si="5">E20*$C$19</f>
        <v>32629.820566000002</v>
      </c>
      <c r="F21" s="97">
        <f t="shared" si="5"/>
        <v>32629.820566000002</v>
      </c>
      <c r="G21" s="97">
        <f t="shared" si="5"/>
        <v>39155.784679199998</v>
      </c>
      <c r="H21" s="15"/>
      <c r="I21" s="15"/>
      <c r="J21" s="15"/>
      <c r="K21" s="15"/>
    </row>
    <row r="22" spans="1:11" x14ac:dyDescent="0.25">
      <c r="A22" s="36">
        <v>7</v>
      </c>
      <c r="B22" s="99" t="s">
        <v>883</v>
      </c>
      <c r="C22" s="100">
        <f>ORÇAMENTO!H109</f>
        <v>17739.0465</v>
      </c>
      <c r="D22" s="97"/>
      <c r="E22" s="15"/>
      <c r="F22" s="36"/>
      <c r="G22" s="36"/>
      <c r="H22" s="36"/>
      <c r="I22" s="101"/>
      <c r="J22" s="15"/>
      <c r="K22" s="15"/>
    </row>
    <row r="23" spans="1:11" x14ac:dyDescent="0.25">
      <c r="A23" s="102"/>
      <c r="B23" s="106"/>
      <c r="C23" s="107"/>
      <c r="D23" s="15"/>
      <c r="E23" s="15"/>
      <c r="F23" s="96"/>
      <c r="G23" s="96"/>
      <c r="H23" s="96"/>
      <c r="I23" s="96">
        <v>1</v>
      </c>
      <c r="J23" s="15"/>
      <c r="K23" s="15"/>
    </row>
    <row r="24" spans="1:11" x14ac:dyDescent="0.25">
      <c r="A24" s="102"/>
      <c r="B24" s="106"/>
      <c r="C24" s="107"/>
      <c r="D24" s="15"/>
      <c r="E24" s="15"/>
      <c r="F24" s="97"/>
      <c r="G24" s="97"/>
      <c r="H24" s="97"/>
      <c r="I24" s="97">
        <f t="shared" ref="I24" si="6">I23*$C$22</f>
        <v>17739.0465</v>
      </c>
      <c r="J24" s="15"/>
      <c r="K24" s="15"/>
    </row>
    <row r="25" spans="1:11" x14ac:dyDescent="0.25">
      <c r="A25" s="36">
        <v>8</v>
      </c>
      <c r="B25" s="99" t="s">
        <v>208</v>
      </c>
      <c r="C25" s="100">
        <f>ORÇAMENTO!H115</f>
        <v>378845.63</v>
      </c>
      <c r="D25" s="104"/>
      <c r="E25" s="101"/>
      <c r="F25" s="101"/>
      <c r="G25" s="101"/>
      <c r="H25" s="101"/>
      <c r="I25" s="101"/>
      <c r="J25" s="36"/>
      <c r="K25" s="36"/>
    </row>
    <row r="26" spans="1:11" x14ac:dyDescent="0.25">
      <c r="A26" s="102"/>
      <c r="B26" s="106"/>
      <c r="C26" s="107"/>
      <c r="D26" s="96">
        <v>0.09</v>
      </c>
      <c r="E26" s="96">
        <v>0.18</v>
      </c>
      <c r="F26" s="96">
        <v>0.18</v>
      </c>
      <c r="G26" s="96">
        <v>0.18333333333333299</v>
      </c>
      <c r="H26" s="96">
        <v>0.18333333333333299</v>
      </c>
      <c r="I26" s="96">
        <v>0.18333333333333299</v>
      </c>
      <c r="J26" s="96"/>
      <c r="K26" s="96"/>
    </row>
    <row r="27" spans="1:11" x14ac:dyDescent="0.25">
      <c r="A27" s="102"/>
      <c r="B27" s="106"/>
      <c r="C27" s="107"/>
      <c r="D27" s="97">
        <f>D26*$C$25</f>
        <v>34096.106699999997</v>
      </c>
      <c r="E27" s="97">
        <f t="shared" ref="E27:I27" si="7">E26*$C$25</f>
        <v>68192.213399999993</v>
      </c>
      <c r="F27" s="97">
        <f t="shared" si="7"/>
        <v>68192.213399999993</v>
      </c>
      <c r="G27" s="97">
        <f t="shared" si="7"/>
        <v>69455.03216666654</v>
      </c>
      <c r="H27" s="97">
        <f t="shared" si="7"/>
        <v>69455.03216666654</v>
      </c>
      <c r="I27" s="97">
        <f t="shared" si="7"/>
        <v>69455.03216666654</v>
      </c>
      <c r="J27" s="97"/>
      <c r="K27" s="97"/>
    </row>
    <row r="28" spans="1:11" x14ac:dyDescent="0.25">
      <c r="A28" s="36">
        <v>9</v>
      </c>
      <c r="B28" s="99" t="s">
        <v>540</v>
      </c>
      <c r="C28" s="100">
        <f>ORÇAMENTO!H207</f>
        <v>10314.52958</v>
      </c>
      <c r="D28" s="103"/>
      <c r="E28" s="101"/>
      <c r="F28" s="101"/>
      <c r="G28" s="101"/>
      <c r="H28" s="15"/>
      <c r="I28" s="15"/>
      <c r="J28" s="15"/>
      <c r="K28" s="15"/>
    </row>
    <row r="29" spans="1:11" x14ac:dyDescent="0.25">
      <c r="A29" s="102"/>
      <c r="B29" s="106"/>
      <c r="C29" s="107"/>
      <c r="D29" s="96"/>
      <c r="E29" s="96">
        <v>0.25</v>
      </c>
      <c r="F29" s="96">
        <v>0.35</v>
      </c>
      <c r="G29" s="96">
        <v>0.4</v>
      </c>
      <c r="H29" s="15"/>
      <c r="I29" s="15"/>
      <c r="J29" s="15"/>
      <c r="K29" s="15"/>
    </row>
    <row r="30" spans="1:11" x14ac:dyDescent="0.25">
      <c r="A30" s="102"/>
      <c r="B30" s="106"/>
      <c r="C30" s="107"/>
      <c r="D30" s="97"/>
      <c r="E30" s="97">
        <f t="shared" ref="E30:G30" si="8">E29*$C$28</f>
        <v>2578.6323950000001</v>
      </c>
      <c r="F30" s="97">
        <f t="shared" si="8"/>
        <v>3610.0853529999999</v>
      </c>
      <c r="G30" s="97">
        <f t="shared" si="8"/>
        <v>4125.8118320000003</v>
      </c>
      <c r="H30" s="15"/>
      <c r="I30" s="15"/>
      <c r="J30" s="15"/>
      <c r="K30" s="15"/>
    </row>
    <row r="31" spans="1:11" x14ac:dyDescent="0.25">
      <c r="A31" s="36">
        <v>10</v>
      </c>
      <c r="B31" s="99" t="s">
        <v>209</v>
      </c>
      <c r="C31" s="100">
        <f>ORÇAMENTO!H216</f>
        <v>216061.07950000002</v>
      </c>
      <c r="D31" s="104"/>
      <c r="E31" s="101"/>
      <c r="F31" s="101"/>
      <c r="G31" s="101"/>
      <c r="H31" s="101"/>
      <c r="I31" s="101"/>
      <c r="J31" s="36"/>
      <c r="K31" s="36"/>
    </row>
    <row r="32" spans="1:11" x14ac:dyDescent="0.25">
      <c r="A32" s="102"/>
      <c r="B32" s="106"/>
      <c r="C32" s="107"/>
      <c r="D32" s="96">
        <v>0.09</v>
      </c>
      <c r="E32" s="96">
        <v>0.18</v>
      </c>
      <c r="F32" s="96">
        <v>0.18</v>
      </c>
      <c r="G32" s="96">
        <v>0.18333333333333299</v>
      </c>
      <c r="H32" s="96">
        <v>0.18333333333333299</v>
      </c>
      <c r="I32" s="96">
        <v>0.18333333333333299</v>
      </c>
      <c r="J32" s="96"/>
      <c r="K32" s="96"/>
    </row>
    <row r="33" spans="1:11" x14ac:dyDescent="0.25">
      <c r="A33" s="102"/>
      <c r="B33" s="106"/>
      <c r="C33" s="107"/>
      <c r="D33" s="97">
        <f>D32*$C$31</f>
        <v>19445.497155000001</v>
      </c>
      <c r="E33" s="97">
        <f>E32*$C$31</f>
        <v>38890.994310000002</v>
      </c>
      <c r="F33" s="97">
        <f t="shared" ref="F33:I33" si="9">F32*$C$31</f>
        <v>38890.994310000002</v>
      </c>
      <c r="G33" s="97">
        <f t="shared" si="9"/>
        <v>39611.197908333263</v>
      </c>
      <c r="H33" s="97">
        <f t="shared" si="9"/>
        <v>39611.197908333263</v>
      </c>
      <c r="I33" s="97">
        <f t="shared" si="9"/>
        <v>39611.197908333263</v>
      </c>
      <c r="J33" s="97"/>
      <c r="K33" s="97"/>
    </row>
    <row r="34" spans="1:11" x14ac:dyDescent="0.25">
      <c r="A34" s="36">
        <v>11</v>
      </c>
      <c r="B34" s="99" t="s">
        <v>537</v>
      </c>
      <c r="C34" s="100">
        <f>ORÇAMENTO!H282</f>
        <v>9257.7749999999996</v>
      </c>
      <c r="D34" s="97"/>
      <c r="E34" s="15"/>
      <c r="F34" s="15"/>
      <c r="G34" s="15"/>
      <c r="H34" s="15"/>
      <c r="I34" s="101"/>
      <c r="J34" s="15"/>
      <c r="K34" s="15"/>
    </row>
    <row r="35" spans="1:11" x14ac:dyDescent="0.25">
      <c r="A35" s="102"/>
      <c r="B35" s="106"/>
      <c r="C35" s="107"/>
      <c r="D35" s="15"/>
      <c r="E35" s="15"/>
      <c r="F35" s="15"/>
      <c r="G35" s="15"/>
      <c r="H35" s="15"/>
      <c r="I35" s="96">
        <v>1</v>
      </c>
      <c r="J35" s="15"/>
      <c r="K35" s="15"/>
    </row>
    <row r="36" spans="1:11" x14ac:dyDescent="0.25">
      <c r="A36" s="102"/>
      <c r="B36" s="106"/>
      <c r="C36" s="107"/>
      <c r="D36" s="15"/>
      <c r="E36" s="15"/>
      <c r="F36" s="15"/>
      <c r="G36" s="15"/>
      <c r="H36" s="15"/>
      <c r="I36" s="97">
        <f>I35*$C$34</f>
        <v>9257.7749999999996</v>
      </c>
      <c r="J36" s="15"/>
      <c r="K36" s="15"/>
    </row>
    <row r="37" spans="1:11" s="93" customFormat="1" ht="15" x14ac:dyDescent="0.25">
      <c r="A37" s="108"/>
      <c r="B37" s="109" t="s">
        <v>879</v>
      </c>
      <c r="C37" s="110">
        <f>ORÇAMENTO!H285</f>
        <v>1762817.9763785</v>
      </c>
      <c r="D37" s="111">
        <f>SUM(D6,D9,D12,D18,D21,D15,D24,D27,D30,D33,D36)</f>
        <v>247328.7140828665</v>
      </c>
      <c r="E37" s="111">
        <f t="shared" ref="E37:K37" si="10">SUM(E6,E9,E12,E18,E21,E15,E24,E27,E30,E33,E36)</f>
        <v>309974.91444606648</v>
      </c>
      <c r="F37" s="111">
        <f t="shared" si="10"/>
        <v>353524.73180336645</v>
      </c>
      <c r="G37" s="111">
        <f t="shared" si="10"/>
        <v>376325.30244349129</v>
      </c>
      <c r="H37" s="111">
        <f t="shared" si="10"/>
        <v>273073.09459309129</v>
      </c>
      <c r="I37" s="111">
        <f t="shared" si="10"/>
        <v>202591.21900961632</v>
      </c>
      <c r="J37" s="111">
        <f t="shared" si="10"/>
        <v>0</v>
      </c>
      <c r="K37" s="111">
        <f t="shared" si="10"/>
        <v>0</v>
      </c>
    </row>
  </sheetData>
  <sheetProtection algorithmName="SHA-512" hashValue="jpYFs7cCmlX5Lp+RIRyi919yHlvRvwTWbZFX7OBnrgaJfbro9zZWgg8zZrNjmTue2t/EKTtt1Mxcnkl4vWyT2A==" saltValue="mdmTMfpZotPgyEiLFfsyzw==" spinCount="100000" sheet="1" objects="1" scenarios="1" selectLockedCells="1"/>
  <pageMargins left="0.51181102362204722" right="0.51181102362204722" top="0.78740157480314965" bottom="0.78740157480314965" header="0.31496062992125984" footer="0.31496062992125984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view="pageBreakPreview" zoomScale="60" zoomScaleNormal="70" workbookViewId="0">
      <selection activeCell="B2" sqref="B2:B3"/>
    </sheetView>
  </sheetViews>
  <sheetFormatPr defaultRowHeight="15" x14ac:dyDescent="0.25"/>
  <cols>
    <col min="1" max="1" width="10.28515625" style="78" bestFit="1" customWidth="1"/>
    <col min="2" max="2" width="36.7109375" style="78" bestFit="1" customWidth="1"/>
    <col min="3" max="3" width="36" style="78" bestFit="1" customWidth="1"/>
    <col min="4" max="4" width="10.140625" style="78" bestFit="1" customWidth="1"/>
    <col min="5" max="5" width="22.85546875" style="78" bestFit="1" customWidth="1"/>
    <col min="6" max="6" width="36.28515625" style="78" bestFit="1" customWidth="1"/>
    <col min="7" max="7" width="33.42578125" style="78" bestFit="1" customWidth="1"/>
    <col min="8" max="8" width="36.7109375" style="78" bestFit="1" customWidth="1"/>
    <col min="9" max="10" width="15.7109375" style="78" bestFit="1" customWidth="1"/>
    <col min="11" max="16384" width="9.140625" style="84"/>
  </cols>
  <sheetData>
    <row r="1" spans="1:10" ht="15.75" thickBot="1" x14ac:dyDescent="0.3">
      <c r="A1" s="82" t="s">
        <v>667</v>
      </c>
      <c r="B1" s="79" t="s">
        <v>668</v>
      </c>
      <c r="C1" s="79" t="s">
        <v>18</v>
      </c>
      <c r="D1" s="83" t="s">
        <v>669</v>
      </c>
      <c r="E1" s="79" t="s">
        <v>670</v>
      </c>
      <c r="F1" s="79" t="s">
        <v>671</v>
      </c>
      <c r="G1" s="79" t="s">
        <v>672</v>
      </c>
      <c r="H1" s="79" t="s">
        <v>673</v>
      </c>
      <c r="I1" s="79" t="s">
        <v>674</v>
      </c>
      <c r="J1" s="79" t="s">
        <v>674</v>
      </c>
    </row>
    <row r="2" spans="1:10" ht="30.75" thickBot="1" x14ac:dyDescent="0.3">
      <c r="A2" s="115" t="s">
        <v>675</v>
      </c>
      <c r="B2" s="117" t="s">
        <v>676</v>
      </c>
      <c r="C2" s="119" t="s">
        <v>677</v>
      </c>
      <c r="D2" s="121">
        <v>4</v>
      </c>
      <c r="E2" s="81" t="s">
        <v>678</v>
      </c>
      <c r="F2" s="81" t="s">
        <v>679</v>
      </c>
      <c r="G2" s="81" t="s">
        <v>680</v>
      </c>
      <c r="H2" s="85" t="s">
        <v>681</v>
      </c>
      <c r="I2" s="86">
        <v>1839</v>
      </c>
      <c r="J2" s="86">
        <v>7356</v>
      </c>
    </row>
    <row r="3" spans="1:10" ht="15.75" thickBot="1" x14ac:dyDescent="0.3">
      <c r="A3" s="116"/>
      <c r="B3" s="118"/>
      <c r="C3" s="120"/>
      <c r="D3" s="122"/>
      <c r="E3" s="81" t="s">
        <v>682</v>
      </c>
      <c r="F3" s="81" t="s">
        <v>683</v>
      </c>
      <c r="G3" s="81" t="s">
        <v>684</v>
      </c>
      <c r="H3" s="87" t="s">
        <v>685</v>
      </c>
      <c r="I3" s="86">
        <v>688.5</v>
      </c>
      <c r="J3" s="86">
        <v>2754</v>
      </c>
    </row>
    <row r="4" spans="1:10" ht="30.75" thickBot="1" x14ac:dyDescent="0.3">
      <c r="A4" s="115" t="s">
        <v>686</v>
      </c>
      <c r="B4" s="117" t="s">
        <v>676</v>
      </c>
      <c r="C4" s="117" t="s">
        <v>687</v>
      </c>
      <c r="D4" s="115">
        <v>3</v>
      </c>
      <c r="E4" s="81" t="s">
        <v>678</v>
      </c>
      <c r="F4" s="81" t="s">
        <v>688</v>
      </c>
      <c r="G4" s="81" t="s">
        <v>680</v>
      </c>
      <c r="H4" s="85" t="s">
        <v>681</v>
      </c>
      <c r="I4" s="86">
        <v>2699</v>
      </c>
      <c r="J4" s="86">
        <v>8097</v>
      </c>
    </row>
    <row r="5" spans="1:10" ht="15.75" thickBot="1" x14ac:dyDescent="0.3">
      <c r="A5" s="116"/>
      <c r="B5" s="118"/>
      <c r="C5" s="118"/>
      <c r="D5" s="116"/>
      <c r="E5" s="81" t="s">
        <v>682</v>
      </c>
      <c r="F5" s="81" t="s">
        <v>689</v>
      </c>
      <c r="G5" s="81" t="s">
        <v>684</v>
      </c>
      <c r="H5" s="87" t="s">
        <v>685</v>
      </c>
      <c r="I5" s="86">
        <v>1549.13</v>
      </c>
      <c r="J5" s="86">
        <v>4647.38</v>
      </c>
    </row>
    <row r="6" spans="1:10" ht="30.75" thickBot="1" x14ac:dyDescent="0.3">
      <c r="A6" s="115" t="s">
        <v>690</v>
      </c>
      <c r="B6" s="117" t="s">
        <v>691</v>
      </c>
      <c r="C6" s="117" t="s">
        <v>692</v>
      </c>
      <c r="D6" s="115">
        <v>6</v>
      </c>
      <c r="E6" s="81" t="s">
        <v>678</v>
      </c>
      <c r="F6" s="81" t="s">
        <v>693</v>
      </c>
      <c r="G6" s="81" t="s">
        <v>680</v>
      </c>
      <c r="H6" s="85" t="s">
        <v>681</v>
      </c>
      <c r="I6" s="86">
        <v>1779</v>
      </c>
      <c r="J6" s="86">
        <v>10674</v>
      </c>
    </row>
    <row r="7" spans="1:10" ht="15.75" thickBot="1" x14ac:dyDescent="0.3">
      <c r="A7" s="116"/>
      <c r="B7" s="118"/>
      <c r="C7" s="118"/>
      <c r="D7" s="116"/>
      <c r="E7" s="81" t="s">
        <v>682</v>
      </c>
      <c r="F7" s="81" t="s">
        <v>694</v>
      </c>
      <c r="G7" s="81" t="s">
        <v>684</v>
      </c>
      <c r="H7" s="87" t="s">
        <v>685</v>
      </c>
      <c r="I7" s="86">
        <v>544</v>
      </c>
      <c r="J7" s="86">
        <v>3264</v>
      </c>
    </row>
    <row r="8" spans="1:10" ht="30.75" thickBot="1" x14ac:dyDescent="0.3">
      <c r="A8" s="88" t="s">
        <v>695</v>
      </c>
      <c r="B8" s="80" t="s">
        <v>676</v>
      </c>
      <c r="C8" s="80" t="s">
        <v>696</v>
      </c>
      <c r="D8" s="89">
        <v>4</v>
      </c>
      <c r="E8" s="80" t="s">
        <v>697</v>
      </c>
      <c r="F8" s="80" t="s">
        <v>698</v>
      </c>
      <c r="G8" s="80" t="s">
        <v>680</v>
      </c>
      <c r="H8" s="85" t="s">
        <v>699</v>
      </c>
      <c r="I8" s="90">
        <v>5895</v>
      </c>
      <c r="J8" s="86">
        <v>23580</v>
      </c>
    </row>
    <row r="9" spans="1:10" ht="30.75" thickBot="1" x14ac:dyDescent="0.3">
      <c r="A9" s="88" t="s">
        <v>700</v>
      </c>
      <c r="B9" s="80" t="s">
        <v>691</v>
      </c>
      <c r="C9" s="80" t="s">
        <v>701</v>
      </c>
      <c r="D9" s="89">
        <v>1</v>
      </c>
      <c r="E9" s="80" t="s">
        <v>702</v>
      </c>
      <c r="F9" s="80" t="s">
        <v>701</v>
      </c>
      <c r="G9" s="80" t="s">
        <v>703</v>
      </c>
      <c r="H9" s="85" t="s">
        <v>704</v>
      </c>
      <c r="I9" s="90">
        <v>7382.4</v>
      </c>
      <c r="J9" s="86">
        <v>7382.4</v>
      </c>
    </row>
    <row r="10" spans="1:10" ht="30.75" thickBot="1" x14ac:dyDescent="0.3">
      <c r="A10" s="88" t="s">
        <v>705</v>
      </c>
      <c r="B10" s="80" t="s">
        <v>706</v>
      </c>
      <c r="C10" s="80" t="s">
        <v>707</v>
      </c>
      <c r="D10" s="89">
        <v>24</v>
      </c>
      <c r="E10" s="80" t="s">
        <v>708</v>
      </c>
      <c r="F10" s="80" t="s">
        <v>709</v>
      </c>
      <c r="G10" s="80" t="s">
        <v>710</v>
      </c>
      <c r="H10" s="85" t="s">
        <v>711</v>
      </c>
      <c r="I10" s="91"/>
      <c r="J10" s="86">
        <v>0</v>
      </c>
    </row>
    <row r="11" spans="1:10" ht="30.75" thickBot="1" x14ac:dyDescent="0.3">
      <c r="A11" s="88" t="s">
        <v>712</v>
      </c>
      <c r="B11" s="80" t="s">
        <v>676</v>
      </c>
      <c r="C11" s="80" t="s">
        <v>713</v>
      </c>
      <c r="D11" s="89">
        <v>20</v>
      </c>
      <c r="E11" s="80" t="s">
        <v>697</v>
      </c>
      <c r="F11" s="80" t="s">
        <v>714</v>
      </c>
      <c r="G11" s="80" t="s">
        <v>549</v>
      </c>
      <c r="H11" s="85" t="s">
        <v>715</v>
      </c>
      <c r="I11" s="90">
        <v>4465</v>
      </c>
      <c r="J11" s="86">
        <v>89300</v>
      </c>
    </row>
    <row r="12" spans="1:10" ht="30.75" thickBot="1" x14ac:dyDescent="0.3">
      <c r="A12" s="88" t="s">
        <v>716</v>
      </c>
      <c r="B12" s="80" t="s">
        <v>676</v>
      </c>
      <c r="C12" s="80" t="s">
        <v>717</v>
      </c>
      <c r="D12" s="89">
        <v>20</v>
      </c>
      <c r="E12" s="80" t="s">
        <v>718</v>
      </c>
      <c r="F12" s="80" t="s">
        <v>719</v>
      </c>
      <c r="G12" s="80" t="s">
        <v>720</v>
      </c>
      <c r="H12" s="85" t="s">
        <v>721</v>
      </c>
      <c r="I12" s="90">
        <v>3299</v>
      </c>
      <c r="J12" s="86">
        <v>65980</v>
      </c>
    </row>
    <row r="13" spans="1:10" ht="30.75" thickBot="1" x14ac:dyDescent="0.3">
      <c r="A13" s="88" t="s">
        <v>722</v>
      </c>
      <c r="B13" s="80" t="s">
        <v>676</v>
      </c>
      <c r="C13" s="80" t="s">
        <v>723</v>
      </c>
      <c r="D13" s="89">
        <v>5</v>
      </c>
      <c r="E13" s="80" t="s">
        <v>724</v>
      </c>
      <c r="F13" s="80" t="s">
        <v>725</v>
      </c>
      <c r="G13" s="80" t="s">
        <v>549</v>
      </c>
      <c r="H13" s="85" t="s">
        <v>726</v>
      </c>
      <c r="I13" s="90">
        <v>16000</v>
      </c>
      <c r="J13" s="86">
        <v>80000</v>
      </c>
    </row>
    <row r="14" spans="1:10" ht="30.75" thickBot="1" x14ac:dyDescent="0.3">
      <c r="A14" s="88" t="s">
        <v>727</v>
      </c>
      <c r="B14" s="80" t="s">
        <v>676</v>
      </c>
      <c r="C14" s="80" t="s">
        <v>728</v>
      </c>
      <c r="D14" s="89">
        <v>5</v>
      </c>
      <c r="E14" s="80" t="s">
        <v>697</v>
      </c>
      <c r="F14" s="80" t="s">
        <v>729</v>
      </c>
      <c r="G14" s="80" t="s">
        <v>680</v>
      </c>
      <c r="H14" s="85" t="s">
        <v>730</v>
      </c>
      <c r="I14" s="90">
        <v>13878</v>
      </c>
      <c r="J14" s="86">
        <v>69390</v>
      </c>
    </row>
    <row r="15" spans="1:10" ht="26.25" thickBot="1" x14ac:dyDescent="0.3">
      <c r="A15" s="88" t="s">
        <v>731</v>
      </c>
      <c r="B15" s="80" t="s">
        <v>732</v>
      </c>
      <c r="C15" s="80" t="s">
        <v>733</v>
      </c>
      <c r="D15" s="89">
        <v>14</v>
      </c>
      <c r="E15" s="80" t="s">
        <v>708</v>
      </c>
      <c r="F15" s="80" t="s">
        <v>734</v>
      </c>
      <c r="G15" s="80" t="s">
        <v>735</v>
      </c>
      <c r="H15" s="85" t="s">
        <v>736</v>
      </c>
      <c r="I15" s="91"/>
      <c r="J15" s="86">
        <v>0</v>
      </c>
    </row>
    <row r="16" spans="1:10" ht="30.75" thickBot="1" x14ac:dyDescent="0.3">
      <c r="A16" s="115" t="s">
        <v>737</v>
      </c>
      <c r="B16" s="117" t="s">
        <v>691</v>
      </c>
      <c r="C16" s="80" t="s">
        <v>738</v>
      </c>
      <c r="D16" s="89">
        <v>1</v>
      </c>
      <c r="E16" s="80" t="s">
        <v>702</v>
      </c>
      <c r="F16" s="80" t="s">
        <v>739</v>
      </c>
      <c r="G16" s="80" t="s">
        <v>740</v>
      </c>
      <c r="H16" s="85" t="s">
        <v>741</v>
      </c>
      <c r="I16" s="90">
        <v>39579.879999999997</v>
      </c>
      <c r="J16" s="86">
        <v>39579.879999999997</v>
      </c>
    </row>
    <row r="17" spans="1:10" ht="30.75" thickBot="1" x14ac:dyDescent="0.3">
      <c r="A17" s="116"/>
      <c r="B17" s="118"/>
      <c r="C17" s="80" t="s">
        <v>742</v>
      </c>
      <c r="D17" s="89">
        <v>1</v>
      </c>
      <c r="E17" s="80" t="s">
        <v>743</v>
      </c>
      <c r="F17" s="80" t="s">
        <v>744</v>
      </c>
      <c r="G17" s="80" t="s">
        <v>745</v>
      </c>
      <c r="H17" s="85" t="s">
        <v>746</v>
      </c>
      <c r="I17" s="90">
        <v>4888</v>
      </c>
      <c r="J17" s="86">
        <v>4888</v>
      </c>
    </row>
    <row r="18" spans="1:10" ht="45.75" thickBot="1" x14ac:dyDescent="0.3">
      <c r="A18" s="88" t="s">
        <v>747</v>
      </c>
      <c r="B18" s="80" t="s">
        <v>691</v>
      </c>
      <c r="C18" s="80" t="s">
        <v>748</v>
      </c>
      <c r="D18" s="89">
        <v>12</v>
      </c>
      <c r="E18" s="80" t="s">
        <v>749</v>
      </c>
      <c r="F18" s="80" t="s">
        <v>750</v>
      </c>
      <c r="G18" s="91"/>
      <c r="H18" s="85" t="s">
        <v>751</v>
      </c>
      <c r="I18" s="90">
        <v>1549</v>
      </c>
      <c r="J18" s="86">
        <v>18588</v>
      </c>
    </row>
    <row r="19" spans="1:10" ht="90.75" thickBot="1" x14ac:dyDescent="0.3">
      <c r="A19" s="88" t="s">
        <v>752</v>
      </c>
      <c r="B19" s="80" t="s">
        <v>753</v>
      </c>
      <c r="C19" s="80" t="s">
        <v>754</v>
      </c>
      <c r="D19" s="89">
        <v>6</v>
      </c>
      <c r="E19" s="80" t="s">
        <v>755</v>
      </c>
      <c r="F19" s="80" t="s">
        <v>756</v>
      </c>
      <c r="G19" s="80" t="s">
        <v>757</v>
      </c>
      <c r="H19" s="85" t="s">
        <v>758</v>
      </c>
      <c r="I19" s="90">
        <v>76</v>
      </c>
      <c r="J19" s="86">
        <v>456</v>
      </c>
    </row>
    <row r="20" spans="1:10" ht="90.75" thickBot="1" x14ac:dyDescent="0.3">
      <c r="A20" s="88" t="s">
        <v>759</v>
      </c>
      <c r="B20" s="81" t="s">
        <v>760</v>
      </c>
      <c r="C20" s="81" t="s">
        <v>761</v>
      </c>
      <c r="D20" s="92">
        <v>1</v>
      </c>
      <c r="E20" s="81" t="s">
        <v>762</v>
      </c>
      <c r="F20" s="81" t="s">
        <v>763</v>
      </c>
      <c r="G20" s="81" t="s">
        <v>680</v>
      </c>
      <c r="H20" s="85" t="s">
        <v>764</v>
      </c>
      <c r="I20" s="86">
        <v>2281.5</v>
      </c>
      <c r="J20" s="86">
        <v>2281.5</v>
      </c>
    </row>
    <row r="21" spans="1:10" ht="45.75" thickBot="1" x14ac:dyDescent="0.3">
      <c r="A21" s="88" t="s">
        <v>765</v>
      </c>
      <c r="B21" s="80" t="s">
        <v>760</v>
      </c>
      <c r="C21" s="80" t="s">
        <v>766</v>
      </c>
      <c r="D21" s="89">
        <v>1</v>
      </c>
      <c r="E21" s="80" t="s">
        <v>767</v>
      </c>
      <c r="F21" s="80" t="s">
        <v>768</v>
      </c>
      <c r="G21" s="80" t="s">
        <v>769</v>
      </c>
      <c r="H21" s="85" t="s">
        <v>770</v>
      </c>
      <c r="I21" s="90">
        <v>7650</v>
      </c>
      <c r="J21" s="86">
        <v>7650</v>
      </c>
    </row>
    <row r="22" spans="1:10" ht="51.75" thickBot="1" x14ac:dyDescent="0.3">
      <c r="A22" s="88" t="s">
        <v>771</v>
      </c>
      <c r="B22" s="80" t="s">
        <v>772</v>
      </c>
      <c r="C22" s="80" t="s">
        <v>773</v>
      </c>
      <c r="D22" s="89">
        <v>25</v>
      </c>
      <c r="E22" s="80" t="s">
        <v>774</v>
      </c>
      <c r="F22" s="80" t="s">
        <v>775</v>
      </c>
      <c r="G22" s="80" t="s">
        <v>776</v>
      </c>
      <c r="H22" s="85" t="s">
        <v>777</v>
      </c>
      <c r="I22" s="90">
        <v>1795.2</v>
      </c>
      <c r="J22" s="86">
        <v>44880</v>
      </c>
    </row>
    <row r="23" spans="1:10" ht="51.75" thickBot="1" x14ac:dyDescent="0.3">
      <c r="A23" s="88" t="s">
        <v>778</v>
      </c>
      <c r="B23" s="80" t="s">
        <v>772</v>
      </c>
      <c r="C23" s="80" t="s">
        <v>779</v>
      </c>
      <c r="D23" s="89">
        <v>25</v>
      </c>
      <c r="E23" s="80" t="s">
        <v>780</v>
      </c>
      <c r="F23" s="80" t="s">
        <v>781</v>
      </c>
      <c r="G23" s="80" t="s">
        <v>782</v>
      </c>
      <c r="H23" s="85" t="s">
        <v>783</v>
      </c>
      <c r="I23" s="90">
        <v>189</v>
      </c>
      <c r="J23" s="86">
        <v>4725</v>
      </c>
    </row>
    <row r="24" spans="1:10" ht="30.75" thickBot="1" x14ac:dyDescent="0.3">
      <c r="A24" s="88" t="s">
        <v>784</v>
      </c>
      <c r="B24" s="80" t="s">
        <v>785</v>
      </c>
      <c r="C24" s="80" t="s">
        <v>786</v>
      </c>
      <c r="D24" s="89">
        <v>1</v>
      </c>
      <c r="E24" s="80" t="s">
        <v>774</v>
      </c>
      <c r="F24" s="80" t="s">
        <v>787</v>
      </c>
      <c r="G24" s="80" t="s">
        <v>788</v>
      </c>
      <c r="H24" s="85" t="s">
        <v>789</v>
      </c>
      <c r="I24" s="90">
        <v>5374.4</v>
      </c>
      <c r="J24" s="86">
        <v>5374.4</v>
      </c>
    </row>
    <row r="25" spans="1:10" ht="30.75" thickBot="1" x14ac:dyDescent="0.3">
      <c r="A25" s="88" t="s">
        <v>790</v>
      </c>
      <c r="B25" s="80" t="s">
        <v>791</v>
      </c>
      <c r="C25" s="80" t="s">
        <v>792</v>
      </c>
      <c r="D25" s="89">
        <v>4</v>
      </c>
      <c r="E25" s="80" t="s">
        <v>793</v>
      </c>
      <c r="F25" s="80" t="s">
        <v>794</v>
      </c>
      <c r="G25" s="80" t="s">
        <v>757</v>
      </c>
      <c r="H25" s="85" t="s">
        <v>795</v>
      </c>
      <c r="I25" s="90">
        <v>1099</v>
      </c>
      <c r="J25" s="86">
        <v>4396</v>
      </c>
    </row>
    <row r="26" spans="1:10" ht="26.25" thickBot="1" x14ac:dyDescent="0.3">
      <c r="A26" s="115" t="s">
        <v>796</v>
      </c>
      <c r="B26" s="119" t="s">
        <v>797</v>
      </c>
      <c r="C26" s="119" t="s">
        <v>798</v>
      </c>
      <c r="D26" s="121">
        <v>3</v>
      </c>
      <c r="E26" s="81" t="s">
        <v>678</v>
      </c>
      <c r="F26" s="81" t="s">
        <v>799</v>
      </c>
      <c r="G26" s="81" t="s">
        <v>680</v>
      </c>
      <c r="H26" s="87" t="s">
        <v>681</v>
      </c>
      <c r="I26" s="86">
        <v>2613</v>
      </c>
      <c r="J26" s="86">
        <v>7839</v>
      </c>
    </row>
    <row r="27" spans="1:10" ht="15.75" thickBot="1" x14ac:dyDescent="0.3">
      <c r="A27" s="116"/>
      <c r="B27" s="120"/>
      <c r="C27" s="120"/>
      <c r="D27" s="122"/>
      <c r="E27" s="81" t="s">
        <v>682</v>
      </c>
      <c r="F27" s="81" t="s">
        <v>683</v>
      </c>
      <c r="G27" s="81" t="s">
        <v>684</v>
      </c>
      <c r="H27" s="87" t="s">
        <v>685</v>
      </c>
      <c r="I27" s="86">
        <v>688.5</v>
      </c>
      <c r="J27" s="86">
        <v>2065.5</v>
      </c>
    </row>
    <row r="28" spans="1:10" ht="26.25" thickBot="1" x14ac:dyDescent="0.3">
      <c r="A28" s="88" t="s">
        <v>800</v>
      </c>
      <c r="B28" s="81" t="s">
        <v>797</v>
      </c>
      <c r="C28" s="81" t="s">
        <v>801</v>
      </c>
      <c r="D28" s="92">
        <v>3</v>
      </c>
      <c r="E28" s="81" t="s">
        <v>802</v>
      </c>
      <c r="F28" s="81" t="s">
        <v>803</v>
      </c>
      <c r="G28" s="81" t="s">
        <v>680</v>
      </c>
      <c r="H28" s="87" t="s">
        <v>804</v>
      </c>
      <c r="I28" s="86">
        <v>270</v>
      </c>
      <c r="J28" s="86">
        <v>810</v>
      </c>
    </row>
    <row r="29" spans="1:10" ht="26.25" thickBot="1" x14ac:dyDescent="0.3">
      <c r="A29" s="88" t="s">
        <v>805</v>
      </c>
      <c r="B29" s="81" t="s">
        <v>797</v>
      </c>
      <c r="C29" s="81" t="s">
        <v>806</v>
      </c>
      <c r="D29" s="92">
        <v>1</v>
      </c>
      <c r="E29" s="81" t="s">
        <v>807</v>
      </c>
      <c r="F29" s="81" t="s">
        <v>808</v>
      </c>
      <c r="G29" s="81" t="s">
        <v>757</v>
      </c>
      <c r="H29" s="87" t="s">
        <v>809</v>
      </c>
      <c r="I29" s="86">
        <v>3499</v>
      </c>
      <c r="J29" s="86">
        <v>3499</v>
      </c>
    </row>
    <row r="30" spans="1:10" ht="51.75" thickBot="1" x14ac:dyDescent="0.3">
      <c r="A30" s="88" t="s">
        <v>810</v>
      </c>
      <c r="B30" s="81" t="s">
        <v>797</v>
      </c>
      <c r="C30" s="81" t="s">
        <v>811</v>
      </c>
      <c r="D30" s="92">
        <v>1</v>
      </c>
      <c r="E30" s="81" t="s">
        <v>807</v>
      </c>
      <c r="F30" s="81" t="s">
        <v>812</v>
      </c>
      <c r="G30" s="81" t="s">
        <v>769</v>
      </c>
      <c r="H30" s="87" t="s">
        <v>813</v>
      </c>
      <c r="I30" s="86">
        <v>899</v>
      </c>
      <c r="J30" s="86">
        <v>899</v>
      </c>
    </row>
    <row r="31" spans="1:10" x14ac:dyDescent="0.25">
      <c r="A31" s="123">
        <f>SUM(J2:J30)</f>
        <v>520356.06000000006</v>
      </c>
      <c r="B31" s="123"/>
      <c r="C31" s="123"/>
      <c r="D31" s="123"/>
      <c r="E31" s="123"/>
      <c r="F31" s="123"/>
      <c r="G31" s="123"/>
      <c r="H31" s="123"/>
      <c r="I31" s="123"/>
      <c r="J31" s="124"/>
    </row>
  </sheetData>
  <mergeCells count="19">
    <mergeCell ref="A26:A27"/>
    <mergeCell ref="B26:B27"/>
    <mergeCell ref="C26:C27"/>
    <mergeCell ref="D26:D27"/>
    <mergeCell ref="A31:J31"/>
    <mergeCell ref="A6:A7"/>
    <mergeCell ref="B6:B7"/>
    <mergeCell ref="C6:C7"/>
    <mergeCell ref="D6:D7"/>
    <mergeCell ref="A16:A17"/>
    <mergeCell ref="B16:B17"/>
    <mergeCell ref="A2:A3"/>
    <mergeCell ref="B2:B3"/>
    <mergeCell ref="C2:C3"/>
    <mergeCell ref="D2:D3"/>
    <mergeCell ref="A4:A5"/>
    <mergeCell ref="B4:B5"/>
    <mergeCell ref="C4:C5"/>
    <mergeCell ref="D4:D5"/>
  </mergeCells>
  <hyperlinks>
    <hyperlink ref="H2" r:id="rId1"/>
    <hyperlink ref="H4" r:id="rId2"/>
    <hyperlink ref="H6" r:id="rId3"/>
    <hyperlink ref="H8" r:id="rId4"/>
    <hyperlink ref="H9" r:id="rId5"/>
    <hyperlink ref="H10" r:id="rId6"/>
    <hyperlink ref="H11" r:id="rId7"/>
    <hyperlink ref="H12" r:id="rId8"/>
    <hyperlink ref="H13" r:id="rId9"/>
    <hyperlink ref="H14" r:id="rId10"/>
    <hyperlink ref="H15" r:id="rId11"/>
    <hyperlink ref="H16" r:id="rId12"/>
    <hyperlink ref="H17" r:id="rId13"/>
    <hyperlink ref="H18" r:id="rId14"/>
    <hyperlink ref="H19" r:id="rId15" display="https://www.leroymerlin.com.br/prateleira-de-madeira-mdp-branca-120x40cm-luciane_89457732?referrer=category-page"/>
    <hyperlink ref="H20" r:id="rId16"/>
    <hyperlink ref="H21" r:id="rId17"/>
    <hyperlink ref="H22" r:id="rId18"/>
    <hyperlink ref="H23" r:id="rId19"/>
    <hyperlink ref="H24" r:id="rId20"/>
    <hyperlink ref="H25" r:id="rId21"/>
  </hyperlinks>
  <printOptions horizontalCentered="1"/>
  <pageMargins left="0.19685039370078741" right="0.19685039370078741" top="0.19685039370078741" bottom="0.19685039370078741" header="0.31496062992125984" footer="0.31496062992125984"/>
  <pageSetup paperSize="9" scale="53" orientation="landscape" r:id="rId2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45"/>
  <sheetViews>
    <sheetView zoomScale="85" zoomScaleNormal="85" workbookViewId="0">
      <pane ySplit="1" topLeftCell="A2" activePane="bottomLeft" state="frozen"/>
      <selection pane="bottomLeft" activeCell="K12" sqref="K12"/>
    </sheetView>
  </sheetViews>
  <sheetFormatPr defaultRowHeight="15" x14ac:dyDescent="0.25"/>
  <cols>
    <col min="1" max="1" width="23" style="53" customWidth="1"/>
    <col min="2" max="2" width="59" style="53" bestFit="1" customWidth="1"/>
    <col min="3" max="5" width="11.85546875" style="53" customWidth="1"/>
    <col min="6" max="6" width="23" style="53" customWidth="1"/>
    <col min="7" max="7" width="14" style="53" customWidth="1"/>
    <col min="8" max="16384" width="9.140625" style="54"/>
  </cols>
  <sheetData>
    <row r="1" spans="1:7" x14ac:dyDescent="0.25">
      <c r="A1" s="58" t="s">
        <v>12</v>
      </c>
      <c r="B1" s="59" t="s">
        <v>18</v>
      </c>
      <c r="C1" s="59" t="s">
        <v>151</v>
      </c>
      <c r="D1" s="60" t="s">
        <v>14</v>
      </c>
      <c r="E1" s="60" t="s">
        <v>152</v>
      </c>
      <c r="F1" s="59" t="s">
        <v>9</v>
      </c>
      <c r="G1" s="59" t="s">
        <v>155</v>
      </c>
    </row>
    <row r="2" spans="1:7" x14ac:dyDescent="0.25">
      <c r="A2" s="41" t="s">
        <v>150</v>
      </c>
      <c r="B2" s="55" t="s">
        <v>124</v>
      </c>
      <c r="C2" s="42" t="s">
        <v>13</v>
      </c>
      <c r="D2" s="51"/>
      <c r="E2" s="52"/>
      <c r="F2" s="52">
        <f>SUM(F3:F7)</f>
        <v>80.94</v>
      </c>
    </row>
    <row r="3" spans="1:7" x14ac:dyDescent="0.25">
      <c r="A3" s="43" t="s">
        <v>125</v>
      </c>
      <c r="B3" s="56" t="s">
        <v>126</v>
      </c>
      <c r="C3" s="57" t="s">
        <v>127</v>
      </c>
      <c r="D3" s="49">
        <v>0.2</v>
      </c>
      <c r="E3" s="49">
        <v>2</v>
      </c>
      <c r="F3" s="50">
        <v>13.01</v>
      </c>
    </row>
    <row r="4" spans="1:7" x14ac:dyDescent="0.25">
      <c r="A4" s="43" t="s">
        <v>128</v>
      </c>
      <c r="B4" s="56" t="s">
        <v>129</v>
      </c>
      <c r="C4" s="57" t="s">
        <v>127</v>
      </c>
      <c r="D4" s="49">
        <v>0.3</v>
      </c>
      <c r="E4" s="49">
        <v>3</v>
      </c>
      <c r="F4" s="50">
        <v>8.92</v>
      </c>
    </row>
    <row r="5" spans="1:7" x14ac:dyDescent="0.25">
      <c r="A5" s="43" t="s">
        <v>130</v>
      </c>
      <c r="B5" s="56" t="s">
        <v>131</v>
      </c>
      <c r="C5" s="57" t="s">
        <v>127</v>
      </c>
      <c r="D5" s="49">
        <v>0.2</v>
      </c>
      <c r="E5" s="49">
        <v>1</v>
      </c>
      <c r="F5" s="50">
        <v>49.98</v>
      </c>
    </row>
    <row r="6" spans="1:7" x14ac:dyDescent="0.25">
      <c r="A6" s="43" t="s">
        <v>132</v>
      </c>
      <c r="B6" s="56" t="s">
        <v>133</v>
      </c>
      <c r="C6" s="57" t="s">
        <v>15</v>
      </c>
      <c r="D6" s="49">
        <v>0.3</v>
      </c>
      <c r="E6" s="49">
        <v>1</v>
      </c>
      <c r="F6" s="50">
        <v>0.7</v>
      </c>
    </row>
    <row r="7" spans="1:7" x14ac:dyDescent="0.25">
      <c r="A7" s="43" t="s">
        <v>134</v>
      </c>
      <c r="B7" s="56" t="s">
        <v>135</v>
      </c>
      <c r="C7" s="57" t="s">
        <v>136</v>
      </c>
      <c r="D7" s="49">
        <v>0.45</v>
      </c>
      <c r="E7" s="49">
        <v>1</v>
      </c>
      <c r="F7" s="50">
        <v>8.33</v>
      </c>
    </row>
    <row r="9" spans="1:7" s="56" customFormat="1" ht="12.75" x14ac:dyDescent="0.25">
      <c r="A9" s="57" t="s">
        <v>1</v>
      </c>
      <c r="B9" s="56" t="s">
        <v>138</v>
      </c>
      <c r="C9" s="56" t="s">
        <v>13</v>
      </c>
      <c r="D9" s="56">
        <v>5</v>
      </c>
      <c r="E9" s="56">
        <f>E10/D9</f>
        <v>3.6</v>
      </c>
      <c r="F9" s="50">
        <f>G9/E9</f>
        <v>115.59166666666667</v>
      </c>
      <c r="G9" s="56">
        <v>416.13</v>
      </c>
    </row>
    <row r="10" spans="1:7" s="56" customFormat="1" ht="12.75" x14ac:dyDescent="0.25">
      <c r="C10" s="56" t="s">
        <v>154</v>
      </c>
      <c r="D10" s="56">
        <v>1</v>
      </c>
      <c r="E10" s="56">
        <v>18</v>
      </c>
      <c r="F10" s="50"/>
    </row>
    <row r="11" spans="1:7" s="56" customFormat="1" ht="12.75" x14ac:dyDescent="0.25"/>
    <row r="12" spans="1:7" x14ac:dyDescent="0.25">
      <c r="A12" s="41" t="s">
        <v>1</v>
      </c>
      <c r="B12" s="55" t="s">
        <v>142</v>
      </c>
      <c r="C12" s="42" t="s">
        <v>13</v>
      </c>
      <c r="D12" s="51" t="s">
        <v>156</v>
      </c>
      <c r="E12" s="52">
        <f>E13/D12</f>
        <v>8.7719298245614024</v>
      </c>
      <c r="F12" s="52">
        <f>G12/E12</f>
        <v>22.002000000000002</v>
      </c>
      <c r="G12" s="53" t="s">
        <v>157</v>
      </c>
    </row>
    <row r="13" spans="1:7" x14ac:dyDescent="0.25">
      <c r="C13" s="57" t="s">
        <v>143</v>
      </c>
      <c r="D13" s="49">
        <v>1</v>
      </c>
      <c r="E13" s="49">
        <v>25</v>
      </c>
    </row>
    <row r="15" spans="1:7" x14ac:dyDescent="0.25">
      <c r="A15" s="41" t="s">
        <v>158</v>
      </c>
      <c r="B15" s="55" t="s">
        <v>159</v>
      </c>
      <c r="C15" s="42" t="s">
        <v>13</v>
      </c>
      <c r="D15" s="51"/>
      <c r="E15" s="52"/>
      <c r="F15" s="52">
        <f>SUM(F16:F19)</f>
        <v>72.61</v>
      </c>
    </row>
    <row r="16" spans="1:7" x14ac:dyDescent="0.25">
      <c r="A16" s="43" t="s">
        <v>125</v>
      </c>
      <c r="B16" s="56" t="s">
        <v>126</v>
      </c>
      <c r="C16" s="57" t="s">
        <v>127</v>
      </c>
      <c r="D16" s="49">
        <v>0.45</v>
      </c>
      <c r="E16" s="49">
        <v>2</v>
      </c>
      <c r="F16" s="50">
        <v>13.01</v>
      </c>
    </row>
    <row r="17" spans="1:6" x14ac:dyDescent="0.25">
      <c r="A17" s="43" t="s">
        <v>128</v>
      </c>
      <c r="B17" s="56" t="s">
        <v>129</v>
      </c>
      <c r="C17" s="57" t="s">
        <v>127</v>
      </c>
      <c r="D17" s="49">
        <v>0.4</v>
      </c>
      <c r="E17" s="49">
        <v>3</v>
      </c>
      <c r="F17" s="50">
        <v>8.92</v>
      </c>
    </row>
    <row r="18" spans="1:6" x14ac:dyDescent="0.25">
      <c r="A18" s="43" t="s">
        <v>130</v>
      </c>
      <c r="B18" s="56" t="s">
        <v>131</v>
      </c>
      <c r="C18" s="57" t="s">
        <v>127</v>
      </c>
      <c r="D18" s="49">
        <v>0.2</v>
      </c>
      <c r="E18" s="49">
        <v>1</v>
      </c>
      <c r="F18" s="50">
        <v>49.98</v>
      </c>
    </row>
    <row r="19" spans="1:6" x14ac:dyDescent="0.25">
      <c r="A19" s="43" t="s">
        <v>132</v>
      </c>
      <c r="B19" s="56" t="s">
        <v>133</v>
      </c>
      <c r="C19" s="57" t="s">
        <v>15</v>
      </c>
      <c r="D19" s="49">
        <v>0.3</v>
      </c>
      <c r="E19" s="49">
        <v>1</v>
      </c>
      <c r="F19" s="50">
        <v>0.7</v>
      </c>
    </row>
    <row r="21" spans="1:6" x14ac:dyDescent="0.25">
      <c r="A21" s="41" t="s">
        <v>1</v>
      </c>
      <c r="B21" s="55" t="s">
        <v>160</v>
      </c>
      <c r="C21" s="42" t="s">
        <v>13</v>
      </c>
      <c r="D21" s="51">
        <v>170</v>
      </c>
      <c r="E21" s="52">
        <f>F21/D21</f>
        <v>1.4235294117647059</v>
      </c>
      <c r="F21" s="52">
        <v>242</v>
      </c>
    </row>
    <row r="22" spans="1:6" x14ac:dyDescent="0.25">
      <c r="C22" s="57" t="s">
        <v>153</v>
      </c>
      <c r="D22" s="49">
        <v>18</v>
      </c>
      <c r="E22" s="61"/>
      <c r="F22" s="50"/>
    </row>
    <row r="23" spans="1:6" x14ac:dyDescent="0.25">
      <c r="A23" s="41"/>
      <c r="B23" s="55"/>
      <c r="C23" s="42"/>
      <c r="D23" s="51"/>
      <c r="E23" s="52"/>
      <c r="F23" s="52"/>
    </row>
    <row r="24" spans="1:6" x14ac:dyDescent="0.25">
      <c r="A24" s="41" t="s">
        <v>1</v>
      </c>
      <c r="B24" s="55" t="s">
        <v>161</v>
      </c>
      <c r="C24" s="42" t="s">
        <v>13</v>
      </c>
      <c r="D24" s="51">
        <v>130</v>
      </c>
      <c r="E24" s="52">
        <f>(F24/D24)/2</f>
        <v>2.7570384615384618</v>
      </c>
      <c r="F24" s="52">
        <v>716.83</v>
      </c>
    </row>
    <row r="26" spans="1:6" x14ac:dyDescent="0.25">
      <c r="A26" s="41" t="s">
        <v>431</v>
      </c>
      <c r="B26" s="55"/>
      <c r="C26" s="42"/>
      <c r="D26" s="51"/>
      <c r="E26" s="52"/>
      <c r="F26" s="52">
        <f>SUM(F27:F31)</f>
        <v>60.418500000000002</v>
      </c>
    </row>
    <row r="27" spans="1:6" x14ac:dyDescent="0.25">
      <c r="A27" s="43" t="s">
        <v>432</v>
      </c>
      <c r="B27" s="66" t="s">
        <v>433</v>
      </c>
      <c r="C27" s="57" t="s">
        <v>434</v>
      </c>
      <c r="D27" s="49">
        <v>0.6</v>
      </c>
      <c r="E27" s="49">
        <v>3</v>
      </c>
      <c r="F27" s="50">
        <v>16.902000000000001</v>
      </c>
    </row>
    <row r="28" spans="1:6" x14ac:dyDescent="0.25">
      <c r="A28" s="43" t="s">
        <v>435</v>
      </c>
      <c r="B28" s="66" t="s">
        <v>436</v>
      </c>
      <c r="C28" s="57" t="s">
        <v>434</v>
      </c>
      <c r="D28" s="49">
        <v>0.6</v>
      </c>
      <c r="E28" s="49">
        <v>1</v>
      </c>
      <c r="F28" s="50">
        <v>6.8579999999999997</v>
      </c>
    </row>
    <row r="29" spans="1:6" x14ac:dyDescent="0.25">
      <c r="A29" s="43" t="s">
        <v>128</v>
      </c>
      <c r="B29" s="66" t="s">
        <v>437</v>
      </c>
      <c r="C29" s="57" t="s">
        <v>434</v>
      </c>
      <c r="D29" s="49">
        <v>0.6</v>
      </c>
      <c r="E29" s="49">
        <v>3</v>
      </c>
      <c r="F29" s="50">
        <v>16.902000000000001</v>
      </c>
    </row>
    <row r="30" spans="1:6" x14ac:dyDescent="0.25">
      <c r="A30" s="43" t="s">
        <v>130</v>
      </c>
      <c r="B30" s="66" t="s">
        <v>131</v>
      </c>
      <c r="C30" s="57" t="s">
        <v>434</v>
      </c>
      <c r="D30" s="49">
        <v>0.35</v>
      </c>
      <c r="E30" s="49">
        <v>1</v>
      </c>
      <c r="F30" s="50">
        <v>18.280499999999996</v>
      </c>
    </row>
    <row r="31" spans="1:6" x14ac:dyDescent="0.25">
      <c r="A31" s="43" t="s">
        <v>438</v>
      </c>
      <c r="B31" s="66" t="s">
        <v>439</v>
      </c>
      <c r="C31" s="57" t="s">
        <v>434</v>
      </c>
      <c r="D31" s="49">
        <v>0.6</v>
      </c>
      <c r="E31" s="49">
        <v>2</v>
      </c>
      <c r="F31" s="50">
        <v>1.476</v>
      </c>
    </row>
    <row r="33" spans="1:6" x14ac:dyDescent="0.25">
      <c r="A33" s="41" t="s">
        <v>440</v>
      </c>
      <c r="F33" s="52">
        <f>SUM(F34:F35)</f>
        <v>19.318999999999999</v>
      </c>
    </row>
    <row r="34" spans="1:6" x14ac:dyDescent="0.25">
      <c r="A34" s="43" t="s">
        <v>125</v>
      </c>
      <c r="B34" s="66" t="s">
        <v>126</v>
      </c>
      <c r="C34" s="57" t="s">
        <v>127</v>
      </c>
      <c r="D34" s="49">
        <v>0.3</v>
      </c>
      <c r="E34" s="49">
        <v>3</v>
      </c>
      <c r="F34" s="50">
        <v>12.320999999999998</v>
      </c>
    </row>
    <row r="35" spans="1:6" x14ac:dyDescent="0.25">
      <c r="A35" s="43" t="s">
        <v>441</v>
      </c>
      <c r="B35" s="66" t="s">
        <v>442</v>
      </c>
      <c r="C35" s="57" t="s">
        <v>154</v>
      </c>
      <c r="D35" s="49">
        <v>0.2</v>
      </c>
      <c r="E35" s="49">
        <v>1</v>
      </c>
      <c r="F35" s="50">
        <v>6.9980000000000011</v>
      </c>
    </row>
    <row r="37" spans="1:6" x14ac:dyDescent="0.25">
      <c r="A37" s="41" t="s">
        <v>443</v>
      </c>
      <c r="F37" s="52">
        <f>SUM(F38:F45)</f>
        <v>161.23519999999996</v>
      </c>
    </row>
    <row r="38" spans="1:6" x14ac:dyDescent="0.25">
      <c r="A38" s="43" t="s">
        <v>435</v>
      </c>
      <c r="B38" s="66" t="s">
        <v>436</v>
      </c>
      <c r="C38" s="57" t="s">
        <v>127</v>
      </c>
      <c r="D38" s="49">
        <v>0.25</v>
      </c>
      <c r="E38" s="49">
        <v>1</v>
      </c>
      <c r="F38" s="50">
        <v>2.8574999999999999</v>
      </c>
    </row>
    <row r="39" spans="1:6" x14ac:dyDescent="0.25">
      <c r="A39" s="43" t="s">
        <v>432</v>
      </c>
      <c r="B39" s="66" t="s">
        <v>447</v>
      </c>
      <c r="C39" s="57" t="s">
        <v>127</v>
      </c>
      <c r="D39" s="49">
        <v>0.45</v>
      </c>
      <c r="E39" s="49">
        <v>3</v>
      </c>
      <c r="F39" s="50">
        <v>12.676500000000001</v>
      </c>
    </row>
    <row r="40" spans="1:6" x14ac:dyDescent="0.25">
      <c r="A40" s="43" t="s">
        <v>130</v>
      </c>
      <c r="B40" s="66" t="s">
        <v>131</v>
      </c>
      <c r="C40" s="57" t="s">
        <v>127</v>
      </c>
      <c r="D40" s="49">
        <v>0.15</v>
      </c>
      <c r="E40" s="49">
        <v>1</v>
      </c>
      <c r="F40" s="50">
        <v>7.8344999999999994</v>
      </c>
    </row>
    <row r="41" spans="1:6" x14ac:dyDescent="0.25">
      <c r="A41" s="43" t="s">
        <v>444</v>
      </c>
      <c r="B41" s="66" t="s">
        <v>448</v>
      </c>
      <c r="C41" s="57" t="s">
        <v>136</v>
      </c>
      <c r="D41" s="49">
        <v>0.05</v>
      </c>
      <c r="E41" s="49">
        <v>1</v>
      </c>
      <c r="F41" s="50">
        <v>1.7410000000000001</v>
      </c>
    </row>
    <row r="42" spans="1:6" x14ac:dyDescent="0.25">
      <c r="A42" s="43" t="s">
        <v>445</v>
      </c>
      <c r="B42" s="66" t="s">
        <v>449</v>
      </c>
      <c r="C42" s="57" t="s">
        <v>136</v>
      </c>
      <c r="D42" s="49">
        <v>0.04</v>
      </c>
      <c r="E42" s="49">
        <v>1</v>
      </c>
      <c r="F42" s="50">
        <v>0.4572</v>
      </c>
    </row>
    <row r="43" spans="1:6" ht="38.25" x14ac:dyDescent="0.25">
      <c r="A43" s="43" t="s">
        <v>446</v>
      </c>
      <c r="B43" s="66" t="s">
        <v>450</v>
      </c>
      <c r="C43" s="57" t="s">
        <v>34</v>
      </c>
      <c r="D43" s="49">
        <v>0.03</v>
      </c>
      <c r="E43" s="49">
        <v>1</v>
      </c>
      <c r="F43" s="50">
        <v>127.09949999999998</v>
      </c>
    </row>
    <row r="44" spans="1:6" x14ac:dyDescent="0.25">
      <c r="A44" s="43" t="s">
        <v>125</v>
      </c>
      <c r="B44" s="66" t="s">
        <v>126</v>
      </c>
      <c r="C44" s="57" t="s">
        <v>127</v>
      </c>
      <c r="D44" s="49">
        <v>0.3</v>
      </c>
      <c r="E44" s="49">
        <v>2</v>
      </c>
      <c r="F44" s="50">
        <v>8.2139999999999986</v>
      </c>
    </row>
    <row r="45" spans="1:6" x14ac:dyDescent="0.25">
      <c r="A45" s="43" t="s">
        <v>132</v>
      </c>
      <c r="B45" s="66" t="s">
        <v>133</v>
      </c>
      <c r="C45" s="57" t="s">
        <v>15</v>
      </c>
      <c r="D45" s="49">
        <v>0.5</v>
      </c>
      <c r="E45" s="49">
        <v>1</v>
      </c>
      <c r="F45" s="50">
        <v>0.35499999999999998</v>
      </c>
    </row>
  </sheetData>
  <pageMargins left="0.51181102362204722" right="0.51181102362204722" top="0.78740157480314965" bottom="0.78740157480314965" header="0.31496062992125984" footer="0.31496062992125984"/>
  <pageSetup paperSize="9" scale="5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69"/>
  <sheetViews>
    <sheetView topLeftCell="E1" workbookViewId="0">
      <selection activeCell="D16" sqref="D16"/>
    </sheetView>
  </sheetViews>
  <sheetFormatPr defaultRowHeight="15" x14ac:dyDescent="0.25"/>
  <cols>
    <col min="1" max="1" width="25.85546875" style="47" hidden="1" customWidth="1"/>
    <col min="2" max="2" width="10.140625" style="45" hidden="1" customWidth="1"/>
    <col min="3" max="3" width="3.85546875" style="46" hidden="1" customWidth="1"/>
    <col min="4" max="4" width="0" style="44" hidden="1" customWidth="1"/>
    <col min="5" max="10" width="10.7109375" style="44" customWidth="1"/>
    <col min="11" max="11" width="9.140625" style="44"/>
    <col min="12" max="15" width="10.7109375" style="44" customWidth="1"/>
    <col min="16" max="16" width="40.28515625" style="44" bestFit="1" customWidth="1"/>
    <col min="17" max="16384" width="9.140625" style="44"/>
  </cols>
  <sheetData>
    <row r="1" spans="1:16" x14ac:dyDescent="0.2">
      <c r="A1" s="48" t="s">
        <v>99</v>
      </c>
      <c r="E1" s="132" t="s">
        <v>544</v>
      </c>
      <c r="F1" s="132"/>
      <c r="G1" s="132"/>
      <c r="H1" s="132"/>
      <c r="I1" s="132"/>
      <c r="J1" s="132"/>
      <c r="L1" s="130" t="s">
        <v>602</v>
      </c>
      <c r="M1" s="130"/>
      <c r="N1" s="130"/>
      <c r="O1" s="130"/>
      <c r="P1" s="130"/>
    </row>
    <row r="2" spans="1:16" x14ac:dyDescent="0.2">
      <c r="A2" s="47" t="s">
        <v>144</v>
      </c>
      <c r="B2" s="45">
        <v>387.76</v>
      </c>
      <c r="C2" s="46" t="s">
        <v>13</v>
      </c>
      <c r="E2" s="133" t="s">
        <v>545</v>
      </c>
      <c r="F2" s="133"/>
      <c r="G2" s="133"/>
      <c r="H2" s="133"/>
      <c r="I2" s="133"/>
      <c r="J2" s="133"/>
      <c r="L2" s="127" t="s">
        <v>603</v>
      </c>
      <c r="M2" s="127"/>
      <c r="N2" s="127"/>
      <c r="O2" s="127"/>
      <c r="P2" s="127"/>
    </row>
    <row r="3" spans="1:16" x14ac:dyDescent="0.25">
      <c r="A3" s="47" t="s">
        <v>77</v>
      </c>
      <c r="B3" s="45">
        <f>91.28*2</f>
        <v>182.56</v>
      </c>
      <c r="C3" s="46" t="s">
        <v>13</v>
      </c>
      <c r="E3" s="67" t="s">
        <v>546</v>
      </c>
      <c r="F3" s="67" t="s">
        <v>547</v>
      </c>
      <c r="G3" s="67" t="s">
        <v>8</v>
      </c>
      <c r="H3" s="67" t="s">
        <v>548</v>
      </c>
      <c r="I3" s="67" t="s">
        <v>549</v>
      </c>
      <c r="J3" s="67" t="s">
        <v>550</v>
      </c>
      <c r="L3" s="125" t="s">
        <v>604</v>
      </c>
      <c r="M3" s="125"/>
      <c r="N3" s="125"/>
      <c r="O3" s="125"/>
      <c r="P3" s="125"/>
    </row>
    <row r="4" spans="1:16" ht="25.5" x14ac:dyDescent="0.25">
      <c r="A4" s="47" t="s">
        <v>145</v>
      </c>
      <c r="B4" s="45">
        <v>544.6</v>
      </c>
      <c r="C4" s="46" t="s">
        <v>28</v>
      </c>
      <c r="E4" s="67" t="s">
        <v>551</v>
      </c>
      <c r="F4" s="68">
        <v>1.8038000000000001</v>
      </c>
      <c r="G4" s="67" t="s">
        <v>52</v>
      </c>
      <c r="H4" s="67"/>
      <c r="I4" s="68">
        <v>1.8038000000000001</v>
      </c>
      <c r="J4" s="67" t="s">
        <v>0</v>
      </c>
      <c r="L4" s="71" t="s">
        <v>546</v>
      </c>
      <c r="M4" s="71" t="s">
        <v>547</v>
      </c>
      <c r="N4" s="71" t="s">
        <v>8</v>
      </c>
      <c r="O4" s="71" t="s">
        <v>548</v>
      </c>
      <c r="P4" s="72"/>
    </row>
    <row r="5" spans="1:16" x14ac:dyDescent="0.25">
      <c r="A5" s="47" t="s">
        <v>145</v>
      </c>
      <c r="B5" s="45">
        <v>59.6</v>
      </c>
      <c r="C5" s="46" t="s">
        <v>13</v>
      </c>
      <c r="E5" s="67" t="s">
        <v>552</v>
      </c>
      <c r="F5" s="67">
        <v>1.8086</v>
      </c>
      <c r="G5" s="67" t="s">
        <v>52</v>
      </c>
      <c r="H5" s="67"/>
      <c r="I5" s="67">
        <v>1.8086</v>
      </c>
      <c r="J5" s="67" t="s">
        <v>0</v>
      </c>
      <c r="L5" s="71" t="s">
        <v>605</v>
      </c>
      <c r="M5" s="73">
        <v>90.78</v>
      </c>
      <c r="N5" s="71" t="s">
        <v>52</v>
      </c>
      <c r="O5" s="71"/>
      <c r="P5" s="72"/>
    </row>
    <row r="6" spans="1:16" x14ac:dyDescent="0.25">
      <c r="A6" s="47" t="s">
        <v>146</v>
      </c>
      <c r="B6" s="45">
        <v>193.5</v>
      </c>
      <c r="C6" s="46" t="s">
        <v>28</v>
      </c>
      <c r="E6" s="67" t="s">
        <v>553</v>
      </c>
      <c r="F6" s="67">
        <v>1.8270999999999999</v>
      </c>
      <c r="G6" s="67" t="s">
        <v>52</v>
      </c>
      <c r="H6" s="67"/>
      <c r="I6" s="67">
        <v>1.8270999999999999</v>
      </c>
      <c r="J6" s="67" t="s">
        <v>0</v>
      </c>
      <c r="L6" s="71" t="s">
        <v>606</v>
      </c>
      <c r="M6" s="73">
        <v>9.61</v>
      </c>
      <c r="N6" s="71" t="s">
        <v>52</v>
      </c>
      <c r="O6" s="71"/>
      <c r="P6" s="72"/>
    </row>
    <row r="7" spans="1:16" x14ac:dyDescent="0.25">
      <c r="A7" s="47" t="s">
        <v>147</v>
      </c>
      <c r="B7" s="45">
        <v>79</v>
      </c>
      <c r="C7" s="46" t="s">
        <v>28</v>
      </c>
      <c r="E7" s="67" t="s">
        <v>554</v>
      </c>
      <c r="F7" s="67">
        <v>1.8071999999999999</v>
      </c>
      <c r="G7" s="67" t="s">
        <v>52</v>
      </c>
      <c r="H7" s="67"/>
      <c r="I7" s="67">
        <v>1.8071999999999999</v>
      </c>
      <c r="J7" s="67" t="s">
        <v>0</v>
      </c>
      <c r="L7" s="71" t="s">
        <v>607</v>
      </c>
      <c r="M7" s="73">
        <v>69.62</v>
      </c>
      <c r="N7" s="71" t="s">
        <v>52</v>
      </c>
      <c r="O7" s="71"/>
      <c r="P7" s="72"/>
    </row>
    <row r="8" spans="1:16" ht="30" x14ac:dyDescent="0.25">
      <c r="A8" s="47" t="s">
        <v>148</v>
      </c>
      <c r="B8" s="45">
        <f>((29.99+40.25)*2)*2.9</f>
        <v>407.39199999999994</v>
      </c>
      <c r="C8" s="46" t="s">
        <v>13</v>
      </c>
      <c r="E8" s="67" t="s">
        <v>555</v>
      </c>
      <c r="F8" s="67">
        <v>1.7786999999999999</v>
      </c>
      <c r="G8" s="67" t="s">
        <v>52</v>
      </c>
      <c r="H8" s="67"/>
      <c r="I8" s="67">
        <v>1.7786999999999999</v>
      </c>
      <c r="J8" s="67" t="s">
        <v>0</v>
      </c>
      <c r="L8" s="71" t="s">
        <v>608</v>
      </c>
      <c r="M8" s="73">
        <v>69.239999999999995</v>
      </c>
      <c r="N8" s="71" t="s">
        <v>52</v>
      </c>
      <c r="O8" s="71"/>
      <c r="P8" s="72"/>
    </row>
    <row r="9" spans="1:16" ht="30" x14ac:dyDescent="0.25">
      <c r="A9" s="47" t="s">
        <v>149</v>
      </c>
      <c r="B9" s="45">
        <f>B4*2.9</f>
        <v>1579.34</v>
      </c>
      <c r="C9" s="46" t="s">
        <v>13</v>
      </c>
      <c r="E9" s="67" t="s">
        <v>556</v>
      </c>
      <c r="F9" s="67">
        <v>1.6993</v>
      </c>
      <c r="G9" s="67" t="s">
        <v>52</v>
      </c>
      <c r="H9" s="67"/>
      <c r="I9" s="67">
        <v>1.6993</v>
      </c>
      <c r="J9" s="67" t="s">
        <v>0</v>
      </c>
      <c r="L9" s="71" t="s">
        <v>609</v>
      </c>
      <c r="M9" s="71">
        <v>51.99</v>
      </c>
      <c r="N9" s="71" t="s">
        <v>52</v>
      </c>
      <c r="O9" s="71"/>
      <c r="P9" s="72"/>
    </row>
    <row r="10" spans="1:16" ht="30" x14ac:dyDescent="0.25">
      <c r="A10" s="47" t="s">
        <v>168</v>
      </c>
      <c r="B10" s="45">
        <v>742.79</v>
      </c>
      <c r="C10" s="46" t="s">
        <v>13</v>
      </c>
      <c r="E10" s="67" t="s">
        <v>557</v>
      </c>
      <c r="F10" s="67">
        <v>1.9117</v>
      </c>
      <c r="G10" s="67" t="s">
        <v>52</v>
      </c>
      <c r="H10" s="67"/>
      <c r="I10" s="67">
        <v>1.9117</v>
      </c>
      <c r="J10" s="67" t="s">
        <v>0</v>
      </c>
      <c r="L10" s="71" t="s">
        <v>610</v>
      </c>
      <c r="M10" s="71">
        <v>56.3</v>
      </c>
      <c r="N10" s="71" t="s">
        <v>52</v>
      </c>
      <c r="O10" s="71"/>
      <c r="P10" s="72"/>
    </row>
    <row r="11" spans="1:16" x14ac:dyDescent="0.25">
      <c r="E11" s="67" t="s">
        <v>558</v>
      </c>
      <c r="F11" s="67">
        <v>1.5506</v>
      </c>
      <c r="G11" s="67" t="s">
        <v>52</v>
      </c>
      <c r="H11" s="67"/>
      <c r="I11" s="67">
        <v>1.5506</v>
      </c>
      <c r="J11" s="67" t="s">
        <v>0</v>
      </c>
      <c r="L11" s="131">
        <f>SUM(M5:M10)</f>
        <v>347.54</v>
      </c>
      <c r="M11" s="131"/>
      <c r="N11" s="131"/>
      <c r="O11" s="131"/>
      <c r="P11" s="72"/>
    </row>
    <row r="12" spans="1:16" x14ac:dyDescent="0.25">
      <c r="E12" s="67" t="s">
        <v>559</v>
      </c>
      <c r="F12" s="67">
        <v>1.7842</v>
      </c>
      <c r="G12" s="67" t="s">
        <v>52</v>
      </c>
      <c r="H12" s="67"/>
      <c r="I12" s="67">
        <v>1.7842</v>
      </c>
      <c r="J12" s="67" t="s">
        <v>0</v>
      </c>
      <c r="L12" s="125" t="s">
        <v>611</v>
      </c>
      <c r="M12" s="125"/>
      <c r="N12" s="125"/>
      <c r="O12" s="125"/>
      <c r="P12" s="72"/>
    </row>
    <row r="13" spans="1:16" x14ac:dyDescent="0.25">
      <c r="E13" s="67" t="s">
        <v>560</v>
      </c>
      <c r="F13" s="67">
        <v>1.5718000000000001</v>
      </c>
      <c r="G13" s="67" t="s">
        <v>52</v>
      </c>
      <c r="H13" s="67"/>
      <c r="I13" s="67">
        <v>1.5718000000000001</v>
      </c>
      <c r="J13" s="67" t="s">
        <v>0</v>
      </c>
      <c r="L13" s="71" t="s">
        <v>612</v>
      </c>
      <c r="M13" s="73">
        <v>25.4</v>
      </c>
      <c r="N13" s="71" t="s">
        <v>52</v>
      </c>
      <c r="O13" s="71"/>
      <c r="P13" s="72"/>
    </row>
    <row r="14" spans="1:16" x14ac:dyDescent="0.25">
      <c r="E14" s="67" t="s">
        <v>561</v>
      </c>
      <c r="F14" s="67">
        <v>1.5969</v>
      </c>
      <c r="G14" s="67" t="s">
        <v>52</v>
      </c>
      <c r="H14" s="67"/>
      <c r="I14" s="67">
        <v>1.5969</v>
      </c>
      <c r="J14" s="67" t="s">
        <v>0</v>
      </c>
      <c r="L14" s="131">
        <f>SUM(M13)</f>
        <v>25.4</v>
      </c>
      <c r="M14" s="131"/>
      <c r="N14" s="131"/>
      <c r="O14" s="131"/>
      <c r="P14" s="72"/>
    </row>
    <row r="15" spans="1:16" x14ac:dyDescent="0.25">
      <c r="E15" s="67" t="s">
        <v>562</v>
      </c>
      <c r="F15" s="67">
        <v>1.742</v>
      </c>
      <c r="G15" s="67" t="s">
        <v>52</v>
      </c>
      <c r="H15" s="67"/>
      <c r="I15" s="67">
        <v>1.742</v>
      </c>
      <c r="J15" s="67" t="s">
        <v>0</v>
      </c>
      <c r="L15" s="126">
        <f>SUM(L11+L14)</f>
        <v>372.94</v>
      </c>
      <c r="M15" s="126"/>
      <c r="N15" s="126"/>
      <c r="O15" s="126"/>
      <c r="P15" s="72"/>
    </row>
    <row r="16" spans="1:16" x14ac:dyDescent="0.25">
      <c r="E16" s="67" t="s">
        <v>563</v>
      </c>
      <c r="F16" s="67">
        <v>1.5718000000000001</v>
      </c>
      <c r="G16" s="67" t="s">
        <v>52</v>
      </c>
      <c r="H16" s="67"/>
      <c r="I16" s="67">
        <v>1.5718000000000001</v>
      </c>
      <c r="J16" s="67" t="s">
        <v>0</v>
      </c>
      <c r="L16" s="125" t="s">
        <v>613</v>
      </c>
      <c r="M16" s="125"/>
      <c r="N16" s="125"/>
      <c r="O16" s="125"/>
      <c r="P16" s="72"/>
    </row>
    <row r="17" spans="5:16" x14ac:dyDescent="0.25">
      <c r="E17" s="67" t="s">
        <v>564</v>
      </c>
      <c r="F17" s="67">
        <v>1.6175999999999999</v>
      </c>
      <c r="G17" s="67" t="s">
        <v>52</v>
      </c>
      <c r="H17" s="67"/>
      <c r="I17" s="67">
        <v>1.6175999999999999</v>
      </c>
      <c r="J17" s="67" t="s">
        <v>0</v>
      </c>
      <c r="L17" s="71" t="s">
        <v>614</v>
      </c>
      <c r="M17" s="73">
        <v>79.56</v>
      </c>
      <c r="N17" s="71" t="s">
        <v>52</v>
      </c>
      <c r="O17" s="71"/>
      <c r="P17" s="72"/>
    </row>
    <row r="18" spans="5:16" x14ac:dyDescent="0.25">
      <c r="E18" s="67" t="s">
        <v>565</v>
      </c>
      <c r="F18" s="67">
        <v>1.742</v>
      </c>
      <c r="G18" s="67" t="s">
        <v>52</v>
      </c>
      <c r="H18" s="67"/>
      <c r="I18" s="67">
        <v>1.742</v>
      </c>
      <c r="J18" s="67" t="s">
        <v>0</v>
      </c>
      <c r="L18" s="71" t="s">
        <v>615</v>
      </c>
      <c r="M18" s="73">
        <v>80.400000000000006</v>
      </c>
      <c r="N18" s="71" t="s">
        <v>52</v>
      </c>
      <c r="O18" s="71"/>
      <c r="P18" s="72"/>
    </row>
    <row r="19" spans="5:16" x14ac:dyDescent="0.25">
      <c r="E19" s="67" t="s">
        <v>566</v>
      </c>
      <c r="F19" s="67">
        <v>1.6175999999999999</v>
      </c>
      <c r="G19" s="67" t="s">
        <v>52</v>
      </c>
      <c r="H19" s="67"/>
      <c r="I19" s="67">
        <v>1.6175999999999999</v>
      </c>
      <c r="J19" s="67" t="s">
        <v>0</v>
      </c>
      <c r="L19" s="71" t="s">
        <v>616</v>
      </c>
      <c r="M19" s="71">
        <f>5.4*2</f>
        <v>10.8</v>
      </c>
      <c r="N19" s="71" t="s">
        <v>52</v>
      </c>
      <c r="O19" s="74"/>
      <c r="P19" s="72"/>
    </row>
    <row r="20" spans="5:16" x14ac:dyDescent="0.25">
      <c r="E20" s="67" t="s">
        <v>567</v>
      </c>
      <c r="F20" s="67">
        <v>1.742</v>
      </c>
      <c r="G20" s="67" t="s">
        <v>52</v>
      </c>
      <c r="H20" s="67"/>
      <c r="I20" s="67">
        <v>1.742</v>
      </c>
      <c r="J20" s="67" t="s">
        <v>0</v>
      </c>
      <c r="L20" s="71" t="s">
        <v>617</v>
      </c>
      <c r="M20" s="71">
        <f>5.4*2</f>
        <v>10.8</v>
      </c>
      <c r="N20" s="71" t="s">
        <v>52</v>
      </c>
      <c r="O20" s="74"/>
      <c r="P20" s="72"/>
    </row>
    <row r="21" spans="5:16" x14ac:dyDescent="0.25">
      <c r="E21" s="128">
        <f>SUM(F4:F20)</f>
        <v>29.172900000000002</v>
      </c>
      <c r="F21" s="129"/>
      <c r="G21" s="129"/>
      <c r="H21" s="129"/>
      <c r="I21" s="69">
        <f>SUM(I4:I20)</f>
        <v>29.172900000000002</v>
      </c>
      <c r="J21" s="69">
        <f>SUM(J4:J20)</f>
        <v>0</v>
      </c>
      <c r="L21" s="126">
        <f>SUM(M17:M19)</f>
        <v>170.76000000000002</v>
      </c>
      <c r="M21" s="126"/>
      <c r="N21" s="126"/>
      <c r="O21" s="126"/>
      <c r="P21" s="72"/>
    </row>
    <row r="22" spans="5:16" x14ac:dyDescent="0.2">
      <c r="E22" s="133" t="s">
        <v>568</v>
      </c>
      <c r="F22" s="133"/>
      <c r="G22" s="133"/>
      <c r="H22" s="133"/>
      <c r="I22" s="133"/>
      <c r="J22" s="133"/>
      <c r="L22" s="125" t="s">
        <v>618</v>
      </c>
      <c r="M22" s="125"/>
      <c r="N22" s="125"/>
      <c r="O22" s="125"/>
      <c r="P22" s="72"/>
    </row>
    <row r="23" spans="5:16" x14ac:dyDescent="0.25">
      <c r="E23" s="67" t="s">
        <v>546</v>
      </c>
      <c r="F23" s="67" t="s">
        <v>547</v>
      </c>
      <c r="G23" s="67" t="s">
        <v>8</v>
      </c>
      <c r="H23" s="67" t="s">
        <v>548</v>
      </c>
      <c r="I23" s="67" t="s">
        <v>569</v>
      </c>
      <c r="J23" s="67" t="s">
        <v>550</v>
      </c>
      <c r="L23" s="71" t="s">
        <v>619</v>
      </c>
      <c r="M23" s="71">
        <v>43.31</v>
      </c>
      <c r="N23" s="71" t="s">
        <v>28</v>
      </c>
      <c r="O23" s="74"/>
      <c r="P23" s="72"/>
    </row>
    <row r="24" spans="5:16" x14ac:dyDescent="0.25">
      <c r="E24" s="67" t="s">
        <v>570</v>
      </c>
      <c r="F24" s="67">
        <v>0.19980000000000001</v>
      </c>
      <c r="G24" s="67" t="s">
        <v>52</v>
      </c>
      <c r="H24" s="67"/>
      <c r="I24" s="67">
        <f t="shared" ref="I24:I33" si="0">F24-J24</f>
        <v>7.740000000000001E-2</v>
      </c>
      <c r="J24" s="67">
        <v>0.12239999999999999</v>
      </c>
      <c r="L24" s="71" t="s">
        <v>620</v>
      </c>
      <c r="M24" s="71">
        <v>44.93</v>
      </c>
      <c r="N24" s="71" t="s">
        <v>28</v>
      </c>
      <c r="O24" s="74"/>
      <c r="P24" s="72"/>
    </row>
    <row r="25" spans="5:16" x14ac:dyDescent="0.25">
      <c r="E25" s="67" t="s">
        <v>571</v>
      </c>
      <c r="F25" s="67">
        <v>0.19980000000000001</v>
      </c>
      <c r="G25" s="67" t="s">
        <v>52</v>
      </c>
      <c r="H25" s="67"/>
      <c r="I25" s="67">
        <f t="shared" si="0"/>
        <v>7.740000000000001E-2</v>
      </c>
      <c r="J25" s="67">
        <v>0.12239999999999999</v>
      </c>
      <c r="L25" s="71" t="s">
        <v>621</v>
      </c>
      <c r="M25" s="71">
        <v>3.41</v>
      </c>
      <c r="N25" s="71" t="s">
        <v>28</v>
      </c>
      <c r="O25" s="74"/>
      <c r="P25" s="72"/>
    </row>
    <row r="26" spans="5:16" x14ac:dyDescent="0.25">
      <c r="E26" s="67" t="s">
        <v>572</v>
      </c>
      <c r="F26" s="67">
        <v>1.4525999999999999</v>
      </c>
      <c r="G26" s="67" t="s">
        <v>52</v>
      </c>
      <c r="H26" s="67"/>
      <c r="I26" s="67">
        <f t="shared" si="0"/>
        <v>0.23869999999999991</v>
      </c>
      <c r="J26" s="67">
        <v>1.2139</v>
      </c>
      <c r="L26" s="71" t="s">
        <v>622</v>
      </c>
      <c r="M26" s="71">
        <v>10.26</v>
      </c>
      <c r="N26" s="71" t="s">
        <v>28</v>
      </c>
      <c r="O26" s="74"/>
      <c r="P26" s="72"/>
    </row>
    <row r="27" spans="5:16" x14ac:dyDescent="0.25">
      <c r="E27" s="67" t="s">
        <v>573</v>
      </c>
      <c r="F27" s="67">
        <v>2.4950000000000001</v>
      </c>
      <c r="G27" s="67" t="s">
        <v>52</v>
      </c>
      <c r="H27" s="67"/>
      <c r="I27" s="67">
        <f t="shared" si="0"/>
        <v>0.39990000000000014</v>
      </c>
      <c r="J27" s="67">
        <v>2.0951</v>
      </c>
      <c r="L27" s="71" t="s">
        <v>623</v>
      </c>
      <c r="M27" s="71">
        <v>10.31</v>
      </c>
      <c r="N27" s="71" t="s">
        <v>28</v>
      </c>
      <c r="O27" s="74"/>
      <c r="P27" s="72"/>
    </row>
    <row r="28" spans="5:16" x14ac:dyDescent="0.25">
      <c r="E28" s="67" t="s">
        <v>574</v>
      </c>
      <c r="F28" s="67">
        <v>2.3656000000000001</v>
      </c>
      <c r="G28" s="67" t="s">
        <v>52</v>
      </c>
      <c r="H28" s="67"/>
      <c r="I28" s="67">
        <f t="shared" si="0"/>
        <v>0.58460000000000023</v>
      </c>
      <c r="J28" s="67">
        <v>1.7809999999999999</v>
      </c>
      <c r="L28" s="71" t="s">
        <v>624</v>
      </c>
      <c r="M28" s="71">
        <f>16.34*2</f>
        <v>32.68</v>
      </c>
      <c r="N28" s="71" t="s">
        <v>28</v>
      </c>
      <c r="O28" s="74"/>
      <c r="P28" s="72"/>
    </row>
    <row r="29" spans="5:16" x14ac:dyDescent="0.25">
      <c r="E29" s="67" t="s">
        <v>575</v>
      </c>
      <c r="F29" s="67">
        <v>1.1329</v>
      </c>
      <c r="G29" s="67" t="s">
        <v>52</v>
      </c>
      <c r="H29" s="67"/>
      <c r="I29" s="67">
        <f t="shared" si="0"/>
        <v>0.33520000000000005</v>
      </c>
      <c r="J29" s="67">
        <v>0.79769999999999996</v>
      </c>
      <c r="L29" s="126">
        <f>SUM(M23:M28)</f>
        <v>144.9</v>
      </c>
      <c r="M29" s="126"/>
      <c r="N29" s="126"/>
      <c r="O29" s="126"/>
      <c r="P29" s="72"/>
    </row>
    <row r="30" spans="5:16" x14ac:dyDescent="0.25">
      <c r="E30" s="67" t="s">
        <v>576</v>
      </c>
      <c r="F30" s="67">
        <v>1.1329</v>
      </c>
      <c r="G30" s="67" t="s">
        <v>52</v>
      </c>
      <c r="H30" s="67"/>
      <c r="I30" s="67">
        <f t="shared" si="0"/>
        <v>0.33520000000000005</v>
      </c>
      <c r="J30" s="67">
        <v>0.79769999999999996</v>
      </c>
      <c r="L30" s="127" t="s">
        <v>625</v>
      </c>
      <c r="M30" s="127"/>
      <c r="N30" s="127"/>
      <c r="O30" s="127"/>
      <c r="P30" s="127"/>
    </row>
    <row r="31" spans="5:16" x14ac:dyDescent="0.25">
      <c r="E31" s="67" t="s">
        <v>577</v>
      </c>
      <c r="F31" s="67">
        <v>2.3656000000000001</v>
      </c>
      <c r="G31" s="67" t="s">
        <v>52</v>
      </c>
      <c r="H31" s="67"/>
      <c r="I31" s="67">
        <f t="shared" si="0"/>
        <v>0.58460000000000023</v>
      </c>
      <c r="J31" s="67">
        <v>1.7809999999999999</v>
      </c>
      <c r="L31" s="125" t="s">
        <v>626</v>
      </c>
      <c r="M31" s="125"/>
      <c r="N31" s="125"/>
      <c r="O31" s="125"/>
      <c r="P31" s="125"/>
    </row>
    <row r="32" spans="5:16" x14ac:dyDescent="0.25">
      <c r="E32" s="67" t="s">
        <v>578</v>
      </c>
      <c r="F32" s="67">
        <v>1.1329</v>
      </c>
      <c r="G32" s="67" t="s">
        <v>52</v>
      </c>
      <c r="H32" s="67"/>
      <c r="I32" s="67">
        <f t="shared" si="0"/>
        <v>0.33520000000000005</v>
      </c>
      <c r="J32" s="67">
        <v>0.79769999999999996</v>
      </c>
      <c r="L32" s="71" t="s">
        <v>627</v>
      </c>
      <c r="M32" s="71">
        <f>5.5+8.07</f>
        <v>13.57</v>
      </c>
      <c r="N32" s="71" t="s">
        <v>52</v>
      </c>
      <c r="O32" s="74"/>
      <c r="P32" s="72"/>
    </row>
    <row r="33" spans="5:16" x14ac:dyDescent="0.25">
      <c r="E33" s="67" t="s">
        <v>579</v>
      </c>
      <c r="F33" s="67">
        <v>1.1329</v>
      </c>
      <c r="G33" s="67" t="s">
        <v>52</v>
      </c>
      <c r="H33" s="67"/>
      <c r="I33" s="67">
        <f t="shared" si="0"/>
        <v>0.33520000000000005</v>
      </c>
      <c r="J33" s="67">
        <v>0.79769999999999996</v>
      </c>
      <c r="L33" s="71" t="s">
        <v>628</v>
      </c>
      <c r="M33" s="71">
        <f>27.61+23.64+23.64+46.97</f>
        <v>121.86</v>
      </c>
      <c r="N33" s="71" t="s">
        <v>52</v>
      </c>
      <c r="O33" s="74"/>
      <c r="P33" s="72"/>
    </row>
    <row r="34" spans="5:16" x14ac:dyDescent="0.25">
      <c r="E34" s="128">
        <f>SUM(F24:F33)</f>
        <v>13.61</v>
      </c>
      <c r="F34" s="129"/>
      <c r="G34" s="129"/>
      <c r="H34" s="129"/>
      <c r="I34" s="70">
        <f>SUM(I24:I33)</f>
        <v>3.3034000000000008</v>
      </c>
      <c r="J34" s="70">
        <f>SUM(J24:J33)</f>
        <v>10.306600000000001</v>
      </c>
      <c r="L34" s="71" t="s">
        <v>629</v>
      </c>
      <c r="M34" s="71">
        <f>28.74+23.64+23.64+47.4</f>
        <v>123.41999999999999</v>
      </c>
      <c r="N34" s="71" t="s">
        <v>52</v>
      </c>
      <c r="O34" s="74"/>
      <c r="P34" s="72"/>
    </row>
    <row r="35" spans="5:16" x14ac:dyDescent="0.2">
      <c r="E35" s="133" t="s">
        <v>580</v>
      </c>
      <c r="F35" s="133"/>
      <c r="G35" s="133"/>
      <c r="H35" s="133"/>
      <c r="I35" s="133"/>
      <c r="J35" s="133"/>
      <c r="L35" s="126">
        <f>SUM(M32:M34)</f>
        <v>258.85000000000002</v>
      </c>
      <c r="M35" s="126"/>
      <c r="N35" s="126"/>
      <c r="O35" s="126"/>
      <c r="P35" s="72"/>
    </row>
    <row r="36" spans="5:16" x14ac:dyDescent="0.25">
      <c r="E36" s="67" t="s">
        <v>546</v>
      </c>
      <c r="F36" s="67" t="s">
        <v>547</v>
      </c>
      <c r="G36" s="67" t="s">
        <v>8</v>
      </c>
      <c r="H36" s="67" t="s">
        <v>548</v>
      </c>
      <c r="I36" s="67" t="s">
        <v>569</v>
      </c>
      <c r="J36" s="67" t="s">
        <v>550</v>
      </c>
      <c r="L36" s="125" t="s">
        <v>630</v>
      </c>
      <c r="M36" s="125"/>
      <c r="N36" s="125"/>
      <c r="O36" s="125"/>
      <c r="P36" s="125"/>
    </row>
    <row r="37" spans="5:16" x14ac:dyDescent="0.25">
      <c r="E37" s="67" t="s">
        <v>581</v>
      </c>
      <c r="F37" s="67">
        <v>12.0091</v>
      </c>
      <c r="G37" s="67" t="s">
        <v>52</v>
      </c>
      <c r="H37" s="67"/>
      <c r="I37" s="67">
        <f>F37-J37</f>
        <v>2.6467000000000009</v>
      </c>
      <c r="J37" s="67">
        <v>9.3623999999999992</v>
      </c>
      <c r="L37" s="71" t="s">
        <v>631</v>
      </c>
      <c r="M37" s="71">
        <f>74.71+74.71+141.75+141.75</f>
        <v>432.91999999999996</v>
      </c>
      <c r="N37" s="71" t="s">
        <v>52</v>
      </c>
      <c r="O37" s="74"/>
      <c r="P37" s="72"/>
    </row>
    <row r="38" spans="5:16" x14ac:dyDescent="0.25">
      <c r="E38" s="67" t="s">
        <v>582</v>
      </c>
      <c r="F38" s="67">
        <v>12.0091</v>
      </c>
      <c r="G38" s="67" t="s">
        <v>52</v>
      </c>
      <c r="H38" s="67"/>
      <c r="I38" s="67">
        <f>F38-J38</f>
        <v>2.6467000000000009</v>
      </c>
      <c r="J38" s="67">
        <v>9.3623999999999992</v>
      </c>
      <c r="L38" s="125" t="s">
        <v>632</v>
      </c>
      <c r="M38" s="125"/>
      <c r="N38" s="125"/>
      <c r="O38" s="125"/>
      <c r="P38" s="125"/>
    </row>
    <row r="39" spans="5:16" x14ac:dyDescent="0.25">
      <c r="E39" s="67" t="s">
        <v>583</v>
      </c>
      <c r="F39" s="67">
        <v>6.1287000000000003</v>
      </c>
      <c r="G39" s="67" t="s">
        <v>52</v>
      </c>
      <c r="H39" s="67"/>
      <c r="I39" s="67">
        <f>F39-J39</f>
        <v>2.0200000000000005</v>
      </c>
      <c r="J39" s="67">
        <v>4.1086999999999998</v>
      </c>
      <c r="L39" s="71" t="s">
        <v>633</v>
      </c>
      <c r="M39" s="71">
        <f>39.64*3.8</f>
        <v>150.63200000000001</v>
      </c>
      <c r="N39" s="71" t="s">
        <v>52</v>
      </c>
      <c r="O39" s="74"/>
      <c r="P39" s="72"/>
    </row>
    <row r="40" spans="5:16" x14ac:dyDescent="0.25">
      <c r="E40" s="67" t="s">
        <v>584</v>
      </c>
      <c r="F40" s="67">
        <v>6.1287000000000003</v>
      </c>
      <c r="G40" s="67" t="s">
        <v>52</v>
      </c>
      <c r="H40" s="67"/>
      <c r="I40" s="67">
        <f>F40-J40</f>
        <v>2.0200000000000005</v>
      </c>
      <c r="J40" s="67">
        <v>4.1086999999999998</v>
      </c>
      <c r="L40" s="71" t="s">
        <v>634</v>
      </c>
      <c r="M40" s="71">
        <f t="shared" ref="M40" si="1">39.64*3.8</f>
        <v>150.63200000000001</v>
      </c>
      <c r="N40" s="71" t="s">
        <v>52</v>
      </c>
      <c r="O40" s="74"/>
      <c r="P40" s="72"/>
    </row>
    <row r="41" spans="5:16" x14ac:dyDescent="0.25">
      <c r="E41" s="67" t="s">
        <v>585</v>
      </c>
      <c r="F41" s="67">
        <v>6.9687999999999999</v>
      </c>
      <c r="G41" s="67" t="s">
        <v>52</v>
      </c>
      <c r="H41" s="67"/>
      <c r="I41" s="67">
        <f>F41-J41</f>
        <v>0.88809999999999967</v>
      </c>
      <c r="J41" s="67">
        <v>6.0807000000000002</v>
      </c>
      <c r="L41" s="125" t="s">
        <v>635</v>
      </c>
      <c r="M41" s="125"/>
      <c r="N41" s="125"/>
      <c r="O41" s="125"/>
      <c r="P41" s="125"/>
    </row>
    <row r="42" spans="5:16" x14ac:dyDescent="0.25">
      <c r="E42" s="67" t="s">
        <v>586</v>
      </c>
      <c r="F42" s="67">
        <v>6.9687999999999999</v>
      </c>
      <c r="G42" s="67" t="s">
        <v>52</v>
      </c>
      <c r="H42" s="67"/>
      <c r="I42" s="67">
        <f t="shared" ref="I42:I52" si="2">F42-J42</f>
        <v>0.88809999999999967</v>
      </c>
      <c r="J42" s="67">
        <v>6.0807000000000002</v>
      </c>
      <c r="L42" s="71" t="s">
        <v>633</v>
      </c>
      <c r="M42" s="71">
        <f>45.58</f>
        <v>45.58</v>
      </c>
      <c r="N42" s="71" t="s">
        <v>52</v>
      </c>
      <c r="O42" s="74"/>
      <c r="P42" s="72"/>
    </row>
    <row r="43" spans="5:16" x14ac:dyDescent="0.25">
      <c r="E43" s="67" t="s">
        <v>587</v>
      </c>
      <c r="F43" s="67">
        <v>6.9687999999999999</v>
      </c>
      <c r="G43" s="67" t="s">
        <v>52</v>
      </c>
      <c r="H43" s="67"/>
      <c r="I43" s="67">
        <f t="shared" si="2"/>
        <v>0.88809999999999967</v>
      </c>
      <c r="J43" s="67">
        <v>6.0807000000000002</v>
      </c>
      <c r="L43" s="127" t="s">
        <v>636</v>
      </c>
      <c r="M43" s="127"/>
      <c r="N43" s="127"/>
      <c r="O43" s="127"/>
      <c r="P43" s="127"/>
    </row>
    <row r="44" spans="5:16" x14ac:dyDescent="0.25">
      <c r="E44" s="67" t="s">
        <v>588</v>
      </c>
      <c r="F44" s="67">
        <v>6.9687999999999999</v>
      </c>
      <c r="G44" s="67" t="s">
        <v>52</v>
      </c>
      <c r="H44" s="67"/>
      <c r="I44" s="67">
        <f t="shared" si="2"/>
        <v>0.88809999999999967</v>
      </c>
      <c r="J44" s="67">
        <v>6.0807000000000002</v>
      </c>
      <c r="L44" s="125" t="s">
        <v>637</v>
      </c>
      <c r="M44" s="125"/>
      <c r="N44" s="125"/>
      <c r="O44" s="125"/>
      <c r="P44" s="125"/>
    </row>
    <row r="45" spans="5:16" x14ac:dyDescent="0.25">
      <c r="E45" s="67" t="s">
        <v>589</v>
      </c>
      <c r="F45" s="67">
        <v>4.7539999999999996</v>
      </c>
      <c r="G45" s="67" t="s">
        <v>52</v>
      </c>
      <c r="H45" s="67"/>
      <c r="I45" s="67">
        <f t="shared" si="2"/>
        <v>0.52999999999999936</v>
      </c>
      <c r="J45" s="67">
        <v>4.2240000000000002</v>
      </c>
      <c r="L45" s="75">
        <v>1</v>
      </c>
      <c r="M45" s="71">
        <f>36.92+37.2</f>
        <v>74.12</v>
      </c>
      <c r="N45" s="71" t="s">
        <v>52</v>
      </c>
      <c r="O45" s="74"/>
      <c r="P45" s="72" t="s">
        <v>638</v>
      </c>
    </row>
    <row r="46" spans="5:16" x14ac:dyDescent="0.25">
      <c r="E46" s="67" t="s">
        <v>590</v>
      </c>
      <c r="F46" s="67">
        <v>4.7539999999999996</v>
      </c>
      <c r="G46" s="67" t="s">
        <v>52</v>
      </c>
      <c r="H46" s="67"/>
      <c r="I46" s="67">
        <f t="shared" si="2"/>
        <v>0.52999999999999936</v>
      </c>
      <c r="J46" s="67">
        <v>4.2240000000000002</v>
      </c>
      <c r="L46" s="71">
        <v>2</v>
      </c>
      <c r="M46" s="71">
        <v>32.11</v>
      </c>
      <c r="N46" s="71" t="s">
        <v>52</v>
      </c>
      <c r="O46" s="74"/>
      <c r="P46" s="72" t="s">
        <v>639</v>
      </c>
    </row>
    <row r="47" spans="5:16" x14ac:dyDescent="0.25">
      <c r="E47" s="67" t="s">
        <v>591</v>
      </c>
      <c r="F47" s="67">
        <v>1.8521000000000001</v>
      </c>
      <c r="G47" s="67" t="s">
        <v>52</v>
      </c>
      <c r="H47" s="67"/>
      <c r="I47" s="67">
        <f t="shared" si="2"/>
        <v>0.66000000000000014</v>
      </c>
      <c r="J47" s="67">
        <v>1.1920999999999999</v>
      </c>
      <c r="L47" s="71">
        <v>3</v>
      </c>
      <c r="M47" s="71">
        <f>90.56+90.35</f>
        <v>180.91</v>
      </c>
      <c r="N47" s="71" t="s">
        <v>52</v>
      </c>
      <c r="O47" s="74"/>
      <c r="P47" s="72" t="s">
        <v>640</v>
      </c>
    </row>
    <row r="48" spans="5:16" x14ac:dyDescent="0.25">
      <c r="E48" s="67" t="s">
        <v>592</v>
      </c>
      <c r="F48" s="67">
        <f>4.9276*2</f>
        <v>9.8552</v>
      </c>
      <c r="G48" s="67" t="s">
        <v>52</v>
      </c>
      <c r="H48" s="67"/>
      <c r="I48" s="67">
        <f>F48-J48</f>
        <v>3.2504</v>
      </c>
      <c r="J48" s="67">
        <f>3.3024*2</f>
        <v>6.6048</v>
      </c>
      <c r="L48" s="71">
        <v>4</v>
      </c>
      <c r="M48" s="73">
        <f>5.41+5.4+81.641+82.74</f>
        <v>175.191</v>
      </c>
      <c r="N48" s="71" t="s">
        <v>52</v>
      </c>
      <c r="O48" s="74"/>
      <c r="P48" s="72" t="s">
        <v>641</v>
      </c>
    </row>
    <row r="49" spans="5:16" x14ac:dyDescent="0.25">
      <c r="E49" s="67" t="s">
        <v>593</v>
      </c>
      <c r="F49" s="67">
        <f>4.0738+0.1337</f>
        <v>4.2075000000000005</v>
      </c>
      <c r="G49" s="67" t="s">
        <v>52</v>
      </c>
      <c r="H49" s="67"/>
      <c r="I49" s="67">
        <f t="shared" si="2"/>
        <v>0.78320000000000034</v>
      </c>
      <c r="J49" s="67">
        <v>3.4243000000000001</v>
      </c>
      <c r="L49" s="71">
        <v>5</v>
      </c>
      <c r="M49" s="71">
        <f>23.2+50.16+8.71</f>
        <v>82.07</v>
      </c>
      <c r="N49" s="71" t="s">
        <v>52</v>
      </c>
      <c r="O49" s="74"/>
      <c r="P49" s="72" t="s">
        <v>642</v>
      </c>
    </row>
    <row r="50" spans="5:16" x14ac:dyDescent="0.25">
      <c r="E50" s="67" t="s">
        <v>594</v>
      </c>
      <c r="F50" s="67">
        <v>9.6487999999999996</v>
      </c>
      <c r="G50" s="67" t="s">
        <v>52</v>
      </c>
      <c r="H50" s="67"/>
      <c r="I50" s="67">
        <f t="shared" si="2"/>
        <v>3.0109999999999992</v>
      </c>
      <c r="J50" s="67">
        <v>6.6378000000000004</v>
      </c>
      <c r="L50" s="125" t="s">
        <v>643</v>
      </c>
      <c r="M50" s="125"/>
      <c r="N50" s="125"/>
      <c r="O50" s="125"/>
      <c r="P50" s="125"/>
    </row>
    <row r="51" spans="5:16" x14ac:dyDescent="0.25">
      <c r="E51" s="67" t="s">
        <v>595</v>
      </c>
      <c r="F51" s="67">
        <v>4.1745000000000001</v>
      </c>
      <c r="G51" s="67" t="s">
        <v>52</v>
      </c>
      <c r="H51" s="67"/>
      <c r="I51" s="67">
        <f t="shared" si="2"/>
        <v>1.0148000000000001</v>
      </c>
      <c r="J51" s="67">
        <v>3.1597</v>
      </c>
      <c r="L51" s="76">
        <v>1</v>
      </c>
      <c r="M51" s="73">
        <f>64.06+104.99+47.31+112.176+8.28+47.53+112.59+45.56+49.78+72.39+64.06+115.36</f>
        <v>844.08600000000013</v>
      </c>
      <c r="N51" s="71" t="s">
        <v>52</v>
      </c>
      <c r="O51" s="74"/>
      <c r="P51" s="72" t="s">
        <v>644</v>
      </c>
    </row>
    <row r="52" spans="5:16" x14ac:dyDescent="0.25">
      <c r="E52" s="67" t="s">
        <v>596</v>
      </c>
      <c r="F52" s="67">
        <v>1.8521000000000001</v>
      </c>
      <c r="G52" s="67" t="s">
        <v>52</v>
      </c>
      <c r="H52" s="67"/>
      <c r="I52" s="67">
        <f t="shared" si="2"/>
        <v>0.66000000000000014</v>
      </c>
      <c r="J52" s="67">
        <v>1.1920999999999999</v>
      </c>
      <c r="L52" s="76">
        <v>2</v>
      </c>
      <c r="M52" s="71">
        <f>0.79+3.13+7.08+2.68+1.08+4.14+1.21+4.05</f>
        <v>24.16</v>
      </c>
      <c r="N52" s="71" t="s">
        <v>52</v>
      </c>
      <c r="O52" s="74"/>
      <c r="P52" s="72" t="s">
        <v>639</v>
      </c>
    </row>
    <row r="53" spans="5:16" x14ac:dyDescent="0.25">
      <c r="E53" s="67" t="s">
        <v>597</v>
      </c>
      <c r="F53" s="67">
        <f>4.9276*2</f>
        <v>9.8552</v>
      </c>
      <c r="G53" s="67" t="s">
        <v>52</v>
      </c>
      <c r="H53" s="67"/>
      <c r="I53" s="67">
        <f>F53-J53</f>
        <v>3.2504</v>
      </c>
      <c r="J53" s="67">
        <f>3.3024*2</f>
        <v>6.6048</v>
      </c>
      <c r="L53" s="76">
        <v>3</v>
      </c>
      <c r="M53" s="71">
        <f>32.08+39.9</f>
        <v>71.97999999999999</v>
      </c>
      <c r="N53" s="71" t="s">
        <v>52</v>
      </c>
      <c r="O53" s="74"/>
      <c r="P53" s="72" t="s">
        <v>645</v>
      </c>
    </row>
    <row r="54" spans="5:16" x14ac:dyDescent="0.25">
      <c r="E54" s="67" t="s">
        <v>598</v>
      </c>
      <c r="F54" s="67">
        <f>4.0738+0.1337</f>
        <v>4.2075000000000005</v>
      </c>
      <c r="G54" s="67" t="s">
        <v>52</v>
      </c>
      <c r="H54" s="67"/>
      <c r="I54" s="67">
        <f t="shared" ref="I54:I57" si="3">F54-J54</f>
        <v>0.78320000000000034</v>
      </c>
      <c r="J54" s="67">
        <v>3.4243000000000001</v>
      </c>
      <c r="L54" s="125" t="s">
        <v>646</v>
      </c>
      <c r="M54" s="125"/>
      <c r="N54" s="125"/>
      <c r="O54" s="125"/>
      <c r="P54" s="125"/>
    </row>
    <row r="55" spans="5:16" x14ac:dyDescent="0.25">
      <c r="E55" s="67" t="s">
        <v>599</v>
      </c>
      <c r="F55" s="67">
        <v>9.6487999999999996</v>
      </c>
      <c r="G55" s="67" t="s">
        <v>52</v>
      </c>
      <c r="H55" s="67"/>
      <c r="I55" s="67">
        <f t="shared" si="3"/>
        <v>3.0109999999999992</v>
      </c>
      <c r="J55" s="67">
        <v>6.6378000000000004</v>
      </c>
      <c r="L55" s="76">
        <v>1</v>
      </c>
      <c r="M55" s="71">
        <f>48.92+12.6+12.56+125.67</f>
        <v>199.75</v>
      </c>
      <c r="N55" s="71" t="s">
        <v>52</v>
      </c>
      <c r="O55" s="74"/>
      <c r="P55" s="72" t="s">
        <v>647</v>
      </c>
    </row>
    <row r="56" spans="5:16" x14ac:dyDescent="0.25">
      <c r="E56" s="67" t="s">
        <v>600</v>
      </c>
      <c r="F56" s="67">
        <f>4.0738+0.1337</f>
        <v>4.2075000000000005</v>
      </c>
      <c r="G56" s="67" t="s">
        <v>52</v>
      </c>
      <c r="H56" s="67"/>
      <c r="I56" s="67">
        <f t="shared" si="3"/>
        <v>0.78320000000000034</v>
      </c>
      <c r="J56" s="67">
        <v>3.4243000000000001</v>
      </c>
      <c r="L56" s="76" t="s">
        <v>648</v>
      </c>
      <c r="M56" s="71">
        <v>11.96</v>
      </c>
      <c r="N56" s="71" t="s">
        <v>52</v>
      </c>
      <c r="O56" s="74"/>
      <c r="P56" s="72" t="s">
        <v>649</v>
      </c>
    </row>
    <row r="57" spans="5:16" x14ac:dyDescent="0.25">
      <c r="E57" s="67" t="s">
        <v>601</v>
      </c>
      <c r="F57" s="67">
        <v>4.1745000000000001</v>
      </c>
      <c r="G57" s="67" t="s">
        <v>52</v>
      </c>
      <c r="H57" s="67"/>
      <c r="I57" s="67">
        <f t="shared" si="3"/>
        <v>1.0148000000000001</v>
      </c>
      <c r="J57" s="67">
        <v>3.1597</v>
      </c>
      <c r="L57" s="76">
        <v>2</v>
      </c>
      <c r="M57" s="71">
        <f>22.22+22.22+2.65+2.65+2.65+2.65+1.98+1.98+6.65</f>
        <v>65.649999999999991</v>
      </c>
      <c r="N57" s="71" t="s">
        <v>52</v>
      </c>
      <c r="O57" s="74"/>
      <c r="P57" s="72" t="s">
        <v>650</v>
      </c>
    </row>
    <row r="58" spans="5:16" x14ac:dyDescent="0.25">
      <c r="E58" s="128">
        <f>SUM(F37:F57)</f>
        <v>137.3425</v>
      </c>
      <c r="F58" s="129"/>
      <c r="G58" s="129"/>
      <c r="H58" s="129"/>
      <c r="I58" s="70">
        <f>SUM(I37:I57)</f>
        <v>32.1678</v>
      </c>
      <c r="J58" s="70">
        <f>SUM(J37:J57)</f>
        <v>105.17469999999999</v>
      </c>
      <c r="L58" s="76" t="s">
        <v>651</v>
      </c>
      <c r="M58" s="71">
        <f>18.82+6.45</f>
        <v>25.27</v>
      </c>
      <c r="N58" s="71" t="s">
        <v>52</v>
      </c>
      <c r="O58" s="74"/>
      <c r="P58" s="72" t="s">
        <v>652</v>
      </c>
    </row>
    <row r="59" spans="5:16" x14ac:dyDescent="0.25">
      <c r="L59" s="76">
        <v>3</v>
      </c>
      <c r="M59" s="71">
        <f>87.83+8</f>
        <v>95.83</v>
      </c>
      <c r="N59" s="71" t="s">
        <v>52</v>
      </c>
      <c r="O59" s="74"/>
      <c r="P59" s="72" t="s">
        <v>653</v>
      </c>
    </row>
    <row r="60" spans="5:16" x14ac:dyDescent="0.25">
      <c r="L60" s="76">
        <v>4</v>
      </c>
      <c r="M60" s="71">
        <f>70.37+7.95</f>
        <v>78.320000000000007</v>
      </c>
      <c r="N60" s="71" t="s">
        <v>52</v>
      </c>
      <c r="O60" s="74"/>
      <c r="P60" s="72" t="s">
        <v>654</v>
      </c>
    </row>
    <row r="61" spans="5:16" x14ac:dyDescent="0.25">
      <c r="L61" s="76">
        <v>5</v>
      </c>
      <c r="M61" s="71">
        <f>31.33+31.33+2.47+2.47+7.77</f>
        <v>75.36999999999999</v>
      </c>
      <c r="N61" s="71" t="s">
        <v>52</v>
      </c>
      <c r="O61" s="74"/>
      <c r="P61" s="72" t="s">
        <v>655</v>
      </c>
    </row>
    <row r="62" spans="5:16" x14ac:dyDescent="0.25">
      <c r="L62" s="77">
        <v>6</v>
      </c>
      <c r="M62" s="71">
        <f>8.69</f>
        <v>8.69</v>
      </c>
      <c r="N62" s="71" t="s">
        <v>52</v>
      </c>
      <c r="O62" s="74"/>
      <c r="P62" s="72" t="s">
        <v>656</v>
      </c>
    </row>
    <row r="63" spans="5:16" x14ac:dyDescent="0.25">
      <c r="L63" s="76">
        <v>7</v>
      </c>
      <c r="M63" s="71">
        <f>0.815+0.815</f>
        <v>1.63</v>
      </c>
      <c r="N63" s="71" t="s">
        <v>52</v>
      </c>
      <c r="O63" s="74"/>
      <c r="P63" s="72" t="s">
        <v>657</v>
      </c>
    </row>
    <row r="64" spans="5:16" x14ac:dyDescent="0.25">
      <c r="L64" s="76">
        <v>8</v>
      </c>
      <c r="M64" s="71">
        <f>11.48*2</f>
        <v>22.96</v>
      </c>
      <c r="N64" s="71" t="s">
        <v>52</v>
      </c>
      <c r="O64" s="74"/>
      <c r="P64" s="72" t="s">
        <v>658</v>
      </c>
    </row>
    <row r="65" spans="12:16" x14ac:dyDescent="0.25">
      <c r="L65" s="77">
        <v>9</v>
      </c>
      <c r="M65" s="71">
        <f>7.41</f>
        <v>7.41</v>
      </c>
      <c r="N65" s="71" t="s">
        <v>52</v>
      </c>
      <c r="O65" s="74"/>
      <c r="P65" s="72" t="s">
        <v>656</v>
      </c>
    </row>
    <row r="66" spans="12:16" x14ac:dyDescent="0.25">
      <c r="L66" s="76">
        <v>10</v>
      </c>
      <c r="M66" s="71">
        <f>6+1.4+8.99+52.44+115.77</f>
        <v>184.6</v>
      </c>
      <c r="N66" s="71" t="s">
        <v>52</v>
      </c>
      <c r="O66" s="74"/>
      <c r="P66" s="72" t="s">
        <v>659</v>
      </c>
    </row>
    <row r="67" spans="12:16" x14ac:dyDescent="0.25">
      <c r="L67" s="76">
        <v>11</v>
      </c>
      <c r="M67" s="71">
        <f>930.51+78.35</f>
        <v>1008.86</v>
      </c>
      <c r="N67" s="71" t="s">
        <v>52</v>
      </c>
      <c r="O67" s="74"/>
      <c r="P67" s="72" t="s">
        <v>660</v>
      </c>
    </row>
    <row r="68" spans="12:16" x14ac:dyDescent="0.25">
      <c r="L68" s="76">
        <v>12</v>
      </c>
      <c r="M68" s="71">
        <v>70.010000000000005</v>
      </c>
      <c r="N68" s="71" t="s">
        <v>52</v>
      </c>
      <c r="O68" s="74"/>
      <c r="P68" s="72" t="s">
        <v>661</v>
      </c>
    </row>
    <row r="69" spans="12:16" x14ac:dyDescent="0.25">
      <c r="L69" s="76">
        <v>13</v>
      </c>
      <c r="M69" s="71">
        <f>18.34+18.34+17.38</f>
        <v>54.06</v>
      </c>
      <c r="N69" s="71" t="s">
        <v>52</v>
      </c>
      <c r="O69" s="74"/>
      <c r="P69" s="72" t="s">
        <v>662</v>
      </c>
    </row>
  </sheetData>
  <sheetProtection algorithmName="SHA-512" hashValue="RGvYYG/uXKIdcvUn6XrI+tSLSWjY9K3OE4D77ag5yogSZU69waVLe8kQyQkrsDSLcEJhwQYacQjm+H3mN9cQ7Q==" saltValue="R2VvLc6pGow0OaqaMJpyxw==" spinCount="100000" sheet="1" objects="1" scenarios="1" selectLockedCells="1"/>
  <mergeCells count="28">
    <mergeCell ref="E58:H58"/>
    <mergeCell ref="L1:P1"/>
    <mergeCell ref="L2:P2"/>
    <mergeCell ref="L3:P3"/>
    <mergeCell ref="L11:O11"/>
    <mergeCell ref="L12:O12"/>
    <mergeCell ref="L14:O14"/>
    <mergeCell ref="L15:O15"/>
    <mergeCell ref="L16:O16"/>
    <mergeCell ref="L21:O21"/>
    <mergeCell ref="E1:J1"/>
    <mergeCell ref="E2:J2"/>
    <mergeCell ref="E21:H21"/>
    <mergeCell ref="E22:J22"/>
    <mergeCell ref="E34:H34"/>
    <mergeCell ref="E35:J35"/>
    <mergeCell ref="L54:P54"/>
    <mergeCell ref="L22:O22"/>
    <mergeCell ref="L29:O29"/>
    <mergeCell ref="L30:P30"/>
    <mergeCell ref="L31:P31"/>
    <mergeCell ref="L35:O35"/>
    <mergeCell ref="L36:P36"/>
    <mergeCell ref="L38:P38"/>
    <mergeCell ref="L41:P41"/>
    <mergeCell ref="L43:P43"/>
    <mergeCell ref="L44:P44"/>
    <mergeCell ref="L50:P50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4</vt:i4>
      </vt:variant>
    </vt:vector>
  </HeadingPairs>
  <TitlesOfParts>
    <vt:vector size="9" baseType="lpstr">
      <vt:lpstr>ORÇAMENTO</vt:lpstr>
      <vt:lpstr>CRONOGRAMA</vt:lpstr>
      <vt:lpstr>MOBILIÁRIO</vt:lpstr>
      <vt:lpstr>COMPOSIÇÕES</vt:lpstr>
      <vt:lpstr>QUADRO ÁREAS</vt:lpstr>
      <vt:lpstr>MOBILIÁRIO!Area_de_impressao</vt:lpstr>
      <vt:lpstr>ORÇAMENTO!Area_de_impressao</vt:lpstr>
      <vt:lpstr>MOBILIÁRIO!Titulos_de_impressao</vt:lpstr>
      <vt:lpstr>ORÇAMENTO!Titulos_de_impressao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Fabiula Domingues</dc:creator>
  <cp:lastModifiedBy>Fabiula</cp:lastModifiedBy>
  <cp:lastPrinted>2025-12-17T18:39:44Z</cp:lastPrinted>
  <dcterms:created xsi:type="dcterms:W3CDTF">2022-03-16T22:24:38Z</dcterms:created>
  <dcterms:modified xsi:type="dcterms:W3CDTF">2025-12-17T19:17:18Z</dcterms:modified>
</cp:coreProperties>
</file>